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Z:\Sheri\Budget\Operating Budget\99-00\"/>
    </mc:Choice>
  </mc:AlternateContent>
  <bookViews>
    <workbookView xWindow="-15" yWindow="3480" windowWidth="11940" windowHeight="3525"/>
  </bookViews>
  <sheets>
    <sheet name="111000-" sheetId="2" r:id="rId1"/>
  </sheets>
  <definedNames>
    <definedName name="_xlnm._FilterDatabase" localSheetId="0" hidden="1">'111000-'!$D$99:$H$101</definedName>
    <definedName name="_xlnm.Print_Area" localSheetId="0">'111000-'!$A$1:$H$3631</definedName>
    <definedName name="_xlnm.Print_Titles" localSheetId="0">'111000-'!$1:$6</definedName>
  </definedNames>
  <calcPr calcId="162913" fullCalcOnLoad="1"/>
</workbook>
</file>

<file path=xl/calcChain.xml><?xml version="1.0" encoding="utf-8"?>
<calcChain xmlns="http://schemas.openxmlformats.org/spreadsheetml/2006/main">
  <c r="G23" i="2" l="1"/>
  <c r="H23" i="2"/>
  <c r="G34" i="2"/>
  <c r="H34" i="2"/>
  <c r="G39" i="2"/>
  <c r="H39" i="2"/>
  <c r="G44" i="2"/>
  <c r="H44" i="2"/>
  <c r="G48" i="2"/>
  <c r="H48" i="2"/>
  <c r="G49" i="2"/>
  <c r="H49" i="2"/>
  <c r="G54" i="2"/>
  <c r="H54" i="2"/>
  <c r="G59" i="2"/>
  <c r="H59" i="2"/>
  <c r="G64" i="2"/>
  <c r="H64" i="2"/>
  <c r="G68" i="2"/>
  <c r="H68" i="2"/>
  <c r="H70" i="2" s="1"/>
  <c r="G70" i="2"/>
  <c r="G71" i="2"/>
  <c r="G73" i="2" s="1"/>
  <c r="H71" i="2"/>
  <c r="H73" i="2" s="1"/>
  <c r="G72" i="2"/>
  <c r="G74" i="2"/>
  <c r="H74" i="2"/>
  <c r="G75" i="2"/>
  <c r="H75" i="2"/>
  <c r="G76" i="2"/>
  <c r="H76" i="2" s="1"/>
  <c r="H80" i="2"/>
  <c r="G85" i="2"/>
  <c r="H85" i="2"/>
  <c r="G86" i="2"/>
  <c r="G87" i="2" s="1"/>
  <c r="H86" i="2"/>
  <c r="G91" i="2"/>
  <c r="G92" i="2" s="1"/>
  <c r="H91" i="2"/>
  <c r="H92" i="2" s="1"/>
  <c r="G97" i="2"/>
  <c r="H97" i="2"/>
  <c r="G101" i="2"/>
  <c r="H101" i="2"/>
  <c r="G106" i="2"/>
  <c r="H106" i="2"/>
  <c r="G111" i="2"/>
  <c r="H111" i="2"/>
  <c r="G112" i="2"/>
  <c r="G113" i="2" s="1"/>
  <c r="H112" i="2"/>
  <c r="H113" i="2" s="1"/>
  <c r="G117" i="2"/>
  <c r="H117" i="2"/>
  <c r="G118" i="2"/>
  <c r="H118" i="2"/>
  <c r="G120" i="2"/>
  <c r="G121" i="2" s="1"/>
  <c r="G123" i="2" s="1"/>
  <c r="H120" i="2"/>
  <c r="G127" i="2"/>
  <c r="H127" i="2"/>
  <c r="G128" i="2"/>
  <c r="H128" i="2"/>
  <c r="G129" i="2"/>
  <c r="H129" i="2"/>
  <c r="G130" i="2"/>
  <c r="H130" i="2"/>
  <c r="G131" i="2"/>
  <c r="H131" i="2"/>
  <c r="G132" i="2"/>
  <c r="H132" i="2"/>
  <c r="G133" i="2"/>
  <c r="H133" i="2"/>
  <c r="G134" i="2"/>
  <c r="H134" i="2"/>
  <c r="G136" i="2"/>
  <c r="H136" i="2"/>
  <c r="G139" i="2"/>
  <c r="H139" i="2"/>
  <c r="G144" i="2"/>
  <c r="H144" i="2"/>
  <c r="G145" i="2"/>
  <c r="G154" i="2"/>
  <c r="H154" i="2"/>
  <c r="H159" i="2" s="1"/>
  <c r="G155" i="2"/>
  <c r="H155" i="2"/>
  <c r="G156" i="2"/>
  <c r="H156" i="2"/>
  <c r="G159" i="2"/>
  <c r="G166" i="2"/>
  <c r="H166" i="2"/>
  <c r="G167" i="2"/>
  <c r="H167" i="2"/>
  <c r="H168" i="2"/>
  <c r="H170" i="2"/>
  <c r="G172" i="2"/>
  <c r="H172" i="2"/>
  <c r="G178" i="2"/>
  <c r="H178" i="2"/>
  <c r="G182" i="2"/>
  <c r="H182" i="2"/>
  <c r="G183" i="2"/>
  <c r="H183" i="2"/>
  <c r="G187" i="2"/>
  <c r="H187" i="2"/>
  <c r="G189" i="2"/>
  <c r="H189" i="2"/>
  <c r="G196" i="2"/>
  <c r="H196" i="2"/>
  <c r="G197" i="2"/>
  <c r="H197" i="2"/>
  <c r="G198" i="2"/>
  <c r="H198" i="2"/>
  <c r="G199" i="2"/>
  <c r="H199" i="2"/>
  <c r="G200" i="2"/>
  <c r="H200" i="2"/>
  <c r="G201" i="2"/>
  <c r="H201" i="2"/>
  <c r="G202" i="2"/>
  <c r="H202" i="2"/>
  <c r="G203" i="2"/>
  <c r="G204" i="2" s="1"/>
  <c r="H204" i="2"/>
  <c r="G205" i="2"/>
  <c r="H205" i="2"/>
  <c r="G206" i="2"/>
  <c r="H206" i="2"/>
  <c r="G208" i="2"/>
  <c r="H208" i="2"/>
  <c r="G209" i="2"/>
  <c r="H209" i="2"/>
  <c r="G210" i="2"/>
  <c r="H210" i="2"/>
  <c r="G211" i="2"/>
  <c r="H211" i="2"/>
  <c r="G213" i="2"/>
  <c r="H213" i="2"/>
  <c r="G214" i="2"/>
  <c r="H214" i="2"/>
  <c r="G216" i="2"/>
  <c r="H216" i="2"/>
  <c r="G217" i="2"/>
  <c r="H217" i="2"/>
  <c r="G218" i="2"/>
  <c r="H218" i="2"/>
  <c r="G219" i="2"/>
  <c r="H219" i="2"/>
  <c r="G227" i="2"/>
  <c r="H227" i="2"/>
  <c r="G233" i="2"/>
  <c r="H233" i="2"/>
  <c r="G238" i="2"/>
  <c r="H238" i="2"/>
  <c r="G243" i="2"/>
  <c r="H243" i="2"/>
  <c r="G248" i="2"/>
  <c r="H248" i="2"/>
  <c r="G252" i="2"/>
  <c r="H252" i="2"/>
  <c r="G253" i="2"/>
  <c r="H253" i="2"/>
  <c r="G254" i="2"/>
  <c r="H254" i="2"/>
  <c r="G255" i="2"/>
  <c r="H255" i="2"/>
  <c r="G256" i="2"/>
  <c r="H256" i="2"/>
  <c r="G257" i="2"/>
  <c r="H257" i="2"/>
  <c r="G258" i="2"/>
  <c r="H258" i="2"/>
  <c r="G259" i="2"/>
  <c r="H259" i="2"/>
  <c r="G264" i="2"/>
  <c r="H264" i="2"/>
  <c r="G270" i="2"/>
  <c r="H270" i="2"/>
  <c r="G274" i="2"/>
  <c r="G278" i="2" s="1"/>
  <c r="H274" i="2"/>
  <c r="G275" i="2"/>
  <c r="H275" i="2"/>
  <c r="G276" i="2"/>
  <c r="H276" i="2"/>
  <c r="H278" i="2"/>
  <c r="G279" i="2"/>
  <c r="G281" i="2" s="1"/>
  <c r="G285" i="2"/>
  <c r="H285" i="2"/>
  <c r="G286" i="2"/>
  <c r="H286" i="2"/>
  <c r="G287" i="2"/>
  <c r="H287" i="2"/>
  <c r="G288" i="2"/>
  <c r="H288" i="2"/>
  <c r="G289" i="2"/>
  <c r="G290" i="2"/>
  <c r="H290" i="2"/>
  <c r="G291" i="2"/>
  <c r="G293" i="2" s="1"/>
  <c r="H291" i="2"/>
  <c r="G292" i="2"/>
  <c r="H293" i="2"/>
  <c r="G294" i="2"/>
  <c r="H294" i="2"/>
  <c r="G295" i="2"/>
  <c r="H295" i="2"/>
  <c r="G300" i="2"/>
  <c r="H300" i="2"/>
  <c r="G307" i="2"/>
  <c r="H307" i="2"/>
  <c r="G308" i="2"/>
  <c r="H308" i="2"/>
  <c r="G309" i="2"/>
  <c r="H309" i="2"/>
  <c r="G313" i="2"/>
  <c r="H313" i="2"/>
  <c r="G314" i="2"/>
  <c r="H314" i="2"/>
  <c r="G316" i="2"/>
  <c r="H316" i="2"/>
  <c r="G318" i="2"/>
  <c r="H318" i="2"/>
  <c r="G321" i="2"/>
  <c r="H321" i="2"/>
  <c r="G322" i="2"/>
  <c r="H322" i="2"/>
  <c r="G324" i="2"/>
  <c r="H324" i="2"/>
  <c r="G328" i="2"/>
  <c r="H328" i="2"/>
  <c r="G335" i="2"/>
  <c r="H335" i="2"/>
  <c r="G336" i="2"/>
  <c r="H336" i="2"/>
  <c r="G337" i="2"/>
  <c r="H337" i="2"/>
  <c r="G338" i="2"/>
  <c r="H338" i="2"/>
  <c r="G349" i="2"/>
  <c r="G353" i="2"/>
  <c r="H353" i="2"/>
  <c r="G354" i="2"/>
  <c r="H354" i="2"/>
  <c r="G355" i="2"/>
  <c r="H355" i="2"/>
  <c r="G357" i="2"/>
  <c r="H357" i="2"/>
  <c r="G358" i="2"/>
  <c r="H358" i="2"/>
  <c r="G359" i="2"/>
  <c r="H359" i="2"/>
  <c r="G360" i="2"/>
  <c r="H360" i="2"/>
  <c r="G361" i="2"/>
  <c r="H361" i="2"/>
  <c r="G371" i="2"/>
  <c r="H371" i="2"/>
  <c r="G372" i="2"/>
  <c r="H372" i="2"/>
  <c r="G373" i="2"/>
  <c r="H373" i="2"/>
  <c r="G374" i="2"/>
  <c r="H374" i="2"/>
  <c r="G376" i="2"/>
  <c r="H376" i="2"/>
  <c r="G378" i="2"/>
  <c r="H378" i="2"/>
  <c r="G383" i="2"/>
  <c r="H383" i="2"/>
  <c r="G384" i="2"/>
  <c r="H384" i="2"/>
  <c r="G385" i="2"/>
  <c r="H385" i="2"/>
  <c r="G386" i="2"/>
  <c r="H386" i="2"/>
  <c r="G387" i="2"/>
  <c r="H387" i="2"/>
  <c r="G397" i="2"/>
  <c r="H397" i="2"/>
  <c r="G398" i="2"/>
  <c r="H398" i="2"/>
  <c r="G401" i="2"/>
  <c r="H401" i="2"/>
  <c r="G402" i="2"/>
  <c r="G404" i="2"/>
  <c r="G408" i="2"/>
  <c r="H408" i="2"/>
  <c r="G409" i="2"/>
  <c r="G410" i="2"/>
  <c r="H410" i="2"/>
  <c r="G411" i="2"/>
  <c r="H411" i="2"/>
  <c r="G422" i="2"/>
  <c r="H422" i="2"/>
  <c r="G426" i="2"/>
  <c r="H426" i="2"/>
  <c r="G427" i="2"/>
  <c r="H427" i="2"/>
  <c r="G428" i="2"/>
  <c r="H428" i="2"/>
  <c r="H431" i="2" s="1"/>
  <c r="H429" i="2"/>
  <c r="G438" i="2"/>
  <c r="G439" i="2" s="1"/>
  <c r="H439" i="2"/>
  <c r="G443" i="2"/>
  <c r="H443" i="2"/>
  <c r="H446" i="2"/>
  <c r="H447" i="2"/>
  <c r="H449" i="2" s="1"/>
  <c r="G455" i="2"/>
  <c r="H455" i="2"/>
  <c r="G460" i="2"/>
  <c r="H460" i="2"/>
  <c r="G464" i="2"/>
  <c r="G465" i="2"/>
  <c r="H465" i="2"/>
  <c r="G469" i="2"/>
  <c r="H469" i="2"/>
  <c r="G470" i="2"/>
  <c r="H470" i="2"/>
  <c r="G471" i="2"/>
  <c r="H471" i="2"/>
  <c r="H479" i="2" s="1"/>
  <c r="G472" i="2"/>
  <c r="H472" i="2"/>
  <c r="G473" i="2"/>
  <c r="H473" i="2"/>
  <c r="G474" i="2"/>
  <c r="H474" i="2"/>
  <c r="G475" i="2"/>
  <c r="H475" i="2"/>
  <c r="G476" i="2"/>
  <c r="H476" i="2"/>
  <c r="G481" i="2"/>
  <c r="H481" i="2"/>
  <c r="G486" i="2"/>
  <c r="H486" i="2"/>
  <c r="G487" i="2"/>
  <c r="H487" i="2"/>
  <c r="G488" i="2"/>
  <c r="H488" i="2"/>
  <c r="G489" i="2"/>
  <c r="H489" i="2"/>
  <c r="G490" i="2"/>
  <c r="H490" i="2"/>
  <c r="G491" i="2"/>
  <c r="H491" i="2"/>
  <c r="G492" i="2"/>
  <c r="H492" i="2"/>
  <c r="G494" i="2"/>
  <c r="G495" i="2"/>
  <c r="G497" i="2" s="1"/>
  <c r="G503" i="2"/>
  <c r="H503" i="2"/>
  <c r="G507" i="2"/>
  <c r="H507" i="2"/>
  <c r="G508" i="2"/>
  <c r="H508" i="2"/>
  <c r="G509" i="2"/>
  <c r="H509" i="2"/>
  <c r="G512" i="2"/>
  <c r="H512" i="2"/>
  <c r="G520" i="2"/>
  <c r="H520" i="2"/>
  <c r="G524" i="2"/>
  <c r="H524" i="2"/>
  <c r="G525" i="2"/>
  <c r="H525" i="2"/>
  <c r="G526" i="2"/>
  <c r="H526" i="2"/>
  <c r="G527" i="2"/>
  <c r="H527" i="2"/>
  <c r="G528" i="2"/>
  <c r="H528" i="2"/>
  <c r="G529" i="2"/>
  <c r="H529" i="2"/>
  <c r="G530" i="2"/>
  <c r="H530" i="2"/>
  <c r="G531" i="2"/>
  <c r="H531" i="2"/>
  <c r="G532" i="2"/>
  <c r="H532" i="2"/>
  <c r="G533" i="2"/>
  <c r="H533" i="2"/>
  <c r="G534" i="2"/>
  <c r="H534" i="2"/>
  <c r="G535" i="2"/>
  <c r="H535" i="2"/>
  <c r="G536" i="2"/>
  <c r="H536" i="2"/>
  <c r="G537" i="2"/>
  <c r="H537" i="2"/>
  <c r="G539" i="2"/>
  <c r="H539" i="2"/>
  <c r="G540" i="2"/>
  <c r="H540" i="2"/>
  <c r="G541" i="2"/>
  <c r="H541" i="2"/>
  <c r="G542" i="2"/>
  <c r="H542" i="2"/>
  <c r="G543" i="2"/>
  <c r="H543" i="2"/>
  <c r="G545" i="2"/>
  <c r="H545" i="2"/>
  <c r="G546" i="2"/>
  <c r="H546" i="2"/>
  <c r="G547" i="2"/>
  <c r="H547" i="2"/>
  <c r="G548" i="2"/>
  <c r="H548" i="2"/>
  <c r="G549" i="2"/>
  <c r="H549" i="2"/>
  <c r="G550" i="2"/>
  <c r="H550" i="2"/>
  <c r="G553" i="2"/>
  <c r="H553" i="2"/>
  <c r="G554" i="2"/>
  <c r="H554" i="2"/>
  <c r="G555" i="2"/>
  <c r="H555" i="2"/>
  <c r="G556" i="2"/>
  <c r="H556" i="2"/>
  <c r="G557" i="2"/>
  <c r="H557" i="2"/>
  <c r="G558" i="2"/>
  <c r="H558" i="2"/>
  <c r="G559" i="2"/>
  <c r="H559" i="2"/>
  <c r="G560" i="2"/>
  <c r="H560" i="2"/>
  <c r="G561" i="2"/>
  <c r="H561" i="2"/>
  <c r="G562" i="2"/>
  <c r="H562" i="2"/>
  <c r="G563" i="2"/>
  <c r="H563" i="2"/>
  <c r="G564" i="2"/>
  <c r="H564" i="2"/>
  <c r="G565" i="2"/>
  <c r="H565" i="2"/>
  <c r="G566" i="2"/>
  <c r="H566" i="2"/>
  <c r="G567" i="2"/>
  <c r="H567" i="2"/>
  <c r="G568" i="2"/>
  <c r="H568" i="2"/>
  <c r="G569" i="2"/>
  <c r="H569" i="2"/>
  <c r="G570" i="2"/>
  <c r="H570" i="2"/>
  <c r="G571" i="2"/>
  <c r="H571" i="2"/>
  <c r="G572" i="2"/>
  <c r="H572" i="2"/>
  <c r="G573" i="2"/>
  <c r="H573" i="2"/>
  <c r="G574" i="2"/>
  <c r="H574" i="2"/>
  <c r="G582" i="2"/>
  <c r="H582" i="2"/>
  <c r="G583" i="2"/>
  <c r="H583" i="2"/>
  <c r="G584" i="2"/>
  <c r="H584" i="2"/>
  <c r="H588" i="2" s="1"/>
  <c r="G585" i="2"/>
  <c r="H585" i="2"/>
  <c r="G594" i="2"/>
  <c r="H594" i="2"/>
  <c r="G596" i="2"/>
  <c r="G598" i="2" s="1"/>
  <c r="G602" i="2" s="1"/>
  <c r="H596" i="2"/>
  <c r="G597" i="2"/>
  <c r="H598" i="2"/>
  <c r="G599" i="2"/>
  <c r="H599" i="2"/>
  <c r="H602" i="2"/>
  <c r="G608" i="2"/>
  <c r="H608" i="2"/>
  <c r="G609" i="2"/>
  <c r="H609" i="2"/>
  <c r="G610" i="2"/>
  <c r="H610" i="2"/>
  <c r="G611" i="2"/>
  <c r="H611" i="2"/>
  <c r="G612" i="2"/>
  <c r="H612" i="2"/>
  <c r="G614" i="2"/>
  <c r="H614" i="2"/>
  <c r="G616" i="2"/>
  <c r="H616" i="2"/>
  <c r="G617" i="2"/>
  <c r="H617" i="2"/>
  <c r="G619" i="2"/>
  <c r="H619" i="2"/>
  <c r="G620" i="2"/>
  <c r="H620" i="2"/>
  <c r="G630" i="2"/>
  <c r="H630" i="2"/>
  <c r="G631" i="2"/>
  <c r="H631" i="2"/>
  <c r="G632" i="2"/>
  <c r="H632" i="2"/>
  <c r="G634" i="2"/>
  <c r="H634" i="2"/>
  <c r="G635" i="2"/>
  <c r="H635" i="2"/>
  <c r="G636" i="2"/>
  <c r="H636" i="2"/>
  <c r="G637" i="2"/>
  <c r="H637" i="2"/>
  <c r="G638" i="2"/>
  <c r="H638" i="2"/>
  <c r="G639" i="2"/>
  <c r="H639" i="2"/>
  <c r="G640" i="2"/>
  <c r="H640" i="2"/>
  <c r="G641" i="2"/>
  <c r="H641" i="2"/>
  <c r="G642" i="2"/>
  <c r="H642" i="2"/>
  <c r="G643" i="2"/>
  <c r="H643" i="2"/>
  <c r="G644" i="2"/>
  <c r="H644" i="2"/>
  <c r="G645" i="2"/>
  <c r="H645" i="2"/>
  <c r="G646" i="2"/>
  <c r="H646" i="2"/>
  <c r="G647" i="2"/>
  <c r="H647" i="2"/>
  <c r="G650" i="2"/>
  <c r="G657" i="2"/>
  <c r="H657" i="2"/>
  <c r="G661" i="2"/>
  <c r="G666" i="2" s="1"/>
  <c r="H661" i="2"/>
  <c r="G662" i="2"/>
  <c r="H662" i="2"/>
  <c r="G663" i="2"/>
  <c r="H663" i="2"/>
  <c r="H666" i="2"/>
  <c r="G667" i="2"/>
  <c r="G668" i="2" s="1"/>
  <c r="G674" i="2"/>
  <c r="H674" i="2"/>
  <c r="H678" i="2" s="1"/>
  <c r="G675" i="2"/>
  <c r="H675" i="2"/>
  <c r="G676" i="2"/>
  <c r="H676" i="2"/>
  <c r="G682" i="2"/>
  <c r="G687" i="2" s="1"/>
  <c r="H682" i="2"/>
  <c r="G683" i="2"/>
  <c r="H683" i="2"/>
  <c r="G684" i="2"/>
  <c r="H684" i="2"/>
  <c r="G688" i="2"/>
  <c r="G689" i="2" s="1"/>
  <c r="G693" i="2"/>
  <c r="H693" i="2"/>
  <c r="G694" i="2"/>
  <c r="H694" i="2"/>
  <c r="G695" i="2"/>
  <c r="H695" i="2"/>
  <c r="G696" i="2"/>
  <c r="H696" i="2"/>
  <c r="G697" i="2"/>
  <c r="H697" i="2"/>
  <c r="G698" i="2"/>
  <c r="H698" i="2"/>
  <c r="G699" i="2"/>
  <c r="H699" i="2"/>
  <c r="G700" i="2"/>
  <c r="H700" i="2"/>
  <c r="G701" i="2"/>
  <c r="H701" i="2"/>
  <c r="G702" i="2"/>
  <c r="H702" i="2"/>
  <c r="G703" i="2"/>
  <c r="H703" i="2"/>
  <c r="G712" i="2"/>
  <c r="H712" i="2"/>
  <c r="G713" i="2"/>
  <c r="H713" i="2"/>
  <c r="G714" i="2"/>
  <c r="G718" i="2" s="1"/>
  <c r="H714" i="2"/>
  <c r="G715" i="2"/>
  <c r="H715" i="2"/>
  <c r="G727" i="2"/>
  <c r="H727" i="2"/>
  <c r="G731" i="2"/>
  <c r="G733" i="2" s="1"/>
  <c r="H731" i="2"/>
  <c r="G732" i="2"/>
  <c r="H733" i="2"/>
  <c r="G734" i="2"/>
  <c r="H734" i="2"/>
  <c r="G735" i="2"/>
  <c r="H735" i="2"/>
  <c r="G736" i="2"/>
  <c r="H736" i="2"/>
  <c r="G737" i="2"/>
  <c r="H737" i="2"/>
  <c r="G738" i="2"/>
  <c r="H738" i="2"/>
  <c r="G739" i="2"/>
  <c r="H739" i="2"/>
  <c r="G740" i="2"/>
  <c r="H740" i="2"/>
  <c r="G741" i="2"/>
  <c r="H741" i="2"/>
  <c r="G742" i="2"/>
  <c r="H742" i="2"/>
  <c r="G743" i="2"/>
  <c r="H743" i="2"/>
  <c r="G744" i="2"/>
  <c r="H744" i="2"/>
  <c r="G745" i="2"/>
  <c r="H745" i="2"/>
  <c r="G746" i="2"/>
  <c r="H746" i="2"/>
  <c r="G747" i="2"/>
  <c r="H747" i="2"/>
  <c r="G748" i="2"/>
  <c r="H748" i="2"/>
  <c r="G749" i="2"/>
  <c r="H749" i="2"/>
  <c r="G750" i="2"/>
  <c r="H750" i="2"/>
  <c r="G751" i="2"/>
  <c r="H751" i="2"/>
  <c r="G752" i="2"/>
  <c r="H752" i="2"/>
  <c r="G753" i="2"/>
  <c r="H753" i="2"/>
  <c r="G754" i="2"/>
  <c r="H754" i="2"/>
  <c r="G755" i="2"/>
  <c r="H755" i="2"/>
  <c r="G756" i="2"/>
  <c r="H756" i="2"/>
  <c r="G760" i="2"/>
  <c r="H760" i="2"/>
  <c r="G761" i="2"/>
  <c r="H761" i="2"/>
  <c r="G763" i="2"/>
  <c r="H763" i="2"/>
  <c r="G764" i="2"/>
  <c r="H764" i="2"/>
  <c r="G769" i="2"/>
  <c r="H769" i="2"/>
  <c r="G776" i="2"/>
  <c r="H776" i="2"/>
  <c r="H779" i="2" s="1"/>
  <c r="G777" i="2"/>
  <c r="H777" i="2"/>
  <c r="G778" i="2"/>
  <c r="H778" i="2"/>
  <c r="G785" i="2"/>
  <c r="G791" i="2" s="1"/>
  <c r="H785" i="2"/>
  <c r="G788" i="2"/>
  <c r="H788" i="2"/>
  <c r="H791" i="2"/>
  <c r="G798" i="2"/>
  <c r="H798" i="2"/>
  <c r="G799" i="2"/>
  <c r="H799" i="2"/>
  <c r="G800" i="2"/>
  <c r="H800" i="2"/>
  <c r="G801" i="2"/>
  <c r="H801" i="2"/>
  <c r="G802" i="2"/>
  <c r="H802" i="2"/>
  <c r="G804" i="2"/>
  <c r="H804" i="2"/>
  <c r="G805" i="2"/>
  <c r="H805" i="2"/>
  <c r="G806" i="2"/>
  <c r="H806" i="2"/>
  <c r="G807" i="2"/>
  <c r="H807" i="2"/>
  <c r="G808" i="2"/>
  <c r="H808" i="2"/>
  <c r="G809" i="2"/>
  <c r="H809" i="2"/>
  <c r="G810" i="2"/>
  <c r="H810" i="2"/>
  <c r="G815" i="2"/>
  <c r="H815" i="2"/>
  <c r="G816" i="2"/>
  <c r="H816" i="2"/>
  <c r="G817" i="2"/>
  <c r="H817" i="2"/>
  <c r="G818" i="2"/>
  <c r="H818" i="2"/>
  <c r="G819" i="2"/>
  <c r="H819" i="2"/>
  <c r="G820" i="2"/>
  <c r="H820" i="2"/>
  <c r="G821" i="2"/>
  <c r="H821" i="2"/>
  <c r="G822" i="2"/>
  <c r="H822" i="2"/>
  <c r="G823" i="2"/>
  <c r="H823" i="2"/>
  <c r="G827" i="2"/>
  <c r="H827" i="2"/>
  <c r="G828" i="2"/>
  <c r="H828" i="2"/>
  <c r="G830" i="2"/>
  <c r="H830" i="2"/>
  <c r="G834" i="2"/>
  <c r="G836" i="2"/>
  <c r="H836" i="2"/>
  <c r="G843" i="2"/>
  <c r="H843" i="2"/>
  <c r="G847" i="2"/>
  <c r="G848" i="2" s="1"/>
  <c r="H847" i="2"/>
  <c r="H848" i="2" s="1"/>
  <c r="G853" i="2"/>
  <c r="H853" i="2"/>
  <c r="G862" i="2"/>
  <c r="G874" i="2" s="1"/>
  <c r="H862" i="2"/>
  <c r="G863" i="2"/>
  <c r="H863" i="2"/>
  <c r="G864" i="2"/>
  <c r="H864" i="2"/>
  <c r="G866" i="2"/>
  <c r="H866" i="2"/>
  <c r="G867" i="2"/>
  <c r="H867" i="2"/>
  <c r="G868" i="2"/>
  <c r="H868" i="2"/>
  <c r="G869" i="2"/>
  <c r="H869" i="2"/>
  <c r="G870" i="2"/>
  <c r="H870" i="2"/>
  <c r="G871" i="2"/>
  <c r="H871" i="2"/>
  <c r="G876" i="2"/>
  <c r="H876" i="2"/>
  <c r="G883" i="2"/>
  <c r="H883" i="2"/>
  <c r="G887" i="2"/>
  <c r="H887" i="2"/>
  <c r="G888" i="2"/>
  <c r="H888" i="2"/>
  <c r="G889" i="2"/>
  <c r="H889" i="2"/>
  <c r="G891" i="2"/>
  <c r="G893" i="2" s="1"/>
  <c r="G898" i="2" s="1"/>
  <c r="H891" i="2"/>
  <c r="G892" i="2"/>
  <c r="H893" i="2"/>
  <c r="G894" i="2"/>
  <c r="H894" i="2"/>
  <c r="G895" i="2"/>
  <c r="G896" i="2"/>
  <c r="H896" i="2"/>
  <c r="G899" i="2"/>
  <c r="G902" i="2"/>
  <c r="G906" i="2"/>
  <c r="G908" i="2" s="1"/>
  <c r="H906" i="2"/>
  <c r="G907" i="2"/>
  <c r="H908" i="2"/>
  <c r="G911" i="2"/>
  <c r="H911" i="2"/>
  <c r="H919" i="2"/>
  <c r="G923" i="2"/>
  <c r="H923" i="2"/>
  <c r="G924" i="2"/>
  <c r="H924" i="2"/>
  <c r="G926" i="2"/>
  <c r="H926" i="2"/>
  <c r="H930" i="2" s="1"/>
  <c r="G927" i="2"/>
  <c r="H927" i="2"/>
  <c r="G928" i="2"/>
  <c r="H928" i="2"/>
  <c r="G929" i="2"/>
  <c r="H929" i="2"/>
  <c r="G932" i="2"/>
  <c r="H932" i="2"/>
  <c r="G937" i="2"/>
  <c r="H937" i="2"/>
  <c r="G938" i="2"/>
  <c r="H938" i="2"/>
  <c r="H941" i="2" s="1"/>
  <c r="G943" i="2"/>
  <c r="H943" i="2"/>
  <c r="G949" i="2"/>
  <c r="H949" i="2"/>
  <c r="G950" i="2"/>
  <c r="H950" i="2"/>
  <c r="G951" i="2"/>
  <c r="H951" i="2"/>
  <c r="H958" i="2" s="1"/>
  <c r="H959" i="2" s="1"/>
  <c r="H961" i="2" s="1"/>
  <c r="G952" i="2"/>
  <c r="H952" i="2"/>
  <c r="G953" i="2"/>
  <c r="H953" i="2"/>
  <c r="G955" i="2"/>
  <c r="H955" i="2"/>
  <c r="G965" i="2"/>
  <c r="G966" i="2" s="1"/>
  <c r="H965" i="2"/>
  <c r="H966" i="2"/>
  <c r="G970" i="2"/>
  <c r="G971" i="2" s="1"/>
  <c r="H970" i="2"/>
  <c r="H971" i="2"/>
  <c r="G975" i="2"/>
  <c r="H975" i="2"/>
  <c r="H976" i="2"/>
  <c r="H977" i="2" s="1"/>
  <c r="H979" i="2" s="1"/>
  <c r="G978" i="2"/>
  <c r="H978" i="2"/>
  <c r="G983" i="2"/>
  <c r="H983" i="2"/>
  <c r="G984" i="2"/>
  <c r="H984" i="2"/>
  <c r="G985" i="2"/>
  <c r="H985" i="2"/>
  <c r="G986" i="2"/>
  <c r="H986" i="2"/>
  <c r="G987" i="2"/>
  <c r="H987" i="2"/>
  <c r="G988" i="2"/>
  <c r="H988" i="2"/>
  <c r="G989" i="2"/>
  <c r="H989" i="2"/>
  <c r="G990" i="2"/>
  <c r="H990" i="2"/>
  <c r="G991" i="2"/>
  <c r="H991" i="2"/>
  <c r="G992" i="2"/>
  <c r="H992" i="2"/>
  <c r="G993" i="2"/>
  <c r="H993" i="2"/>
  <c r="G994" i="2"/>
  <c r="H994" i="2"/>
  <c r="G995" i="2"/>
  <c r="H995" i="2"/>
  <c r="G996" i="2"/>
  <c r="H996" i="2"/>
  <c r="G997" i="2"/>
  <c r="H997" i="2"/>
  <c r="G998" i="2"/>
  <c r="H998" i="2"/>
  <c r="G999" i="2"/>
  <c r="H999" i="2"/>
  <c r="G1000" i="2"/>
  <c r="H1000" i="2"/>
  <c r="G1001" i="2"/>
  <c r="H1001" i="2"/>
  <c r="G1002" i="2"/>
  <c r="H1002" i="2"/>
  <c r="G1003" i="2"/>
  <c r="H1003" i="2"/>
  <c r="G1004" i="2"/>
  <c r="H1004" i="2"/>
  <c r="G1005" i="2"/>
  <c r="H1005" i="2"/>
  <c r="G1006" i="2"/>
  <c r="G1007" i="2"/>
  <c r="H1007" i="2"/>
  <c r="G1008" i="2"/>
  <c r="H1008" i="2"/>
  <c r="G1012" i="2"/>
  <c r="H1012" i="2"/>
  <c r="G1013" i="2"/>
  <c r="H1013" i="2"/>
  <c r="G1015" i="2"/>
  <c r="H1015" i="2"/>
  <c r="G1016" i="2"/>
  <c r="H1016" i="2"/>
  <c r="G1017" i="2"/>
  <c r="H1017" i="2"/>
  <c r="G1018" i="2"/>
  <c r="H1018" i="2"/>
  <c r="G1019" i="2"/>
  <c r="H1019" i="2"/>
  <c r="G1020" i="2"/>
  <c r="H1020" i="2"/>
  <c r="G1021" i="2"/>
  <c r="H1021" i="2"/>
  <c r="G1023" i="2"/>
  <c r="H1023" i="2"/>
  <c r="G1026" i="2"/>
  <c r="H1026" i="2"/>
  <c r="G1032" i="2"/>
  <c r="H1032" i="2"/>
  <c r="G1033" i="2"/>
  <c r="H1033" i="2"/>
  <c r="G1034" i="2"/>
  <c r="H1034" i="2"/>
  <c r="G1037" i="2"/>
  <c r="G1039" i="2"/>
  <c r="H1039" i="2"/>
  <c r="G1044" i="2"/>
  <c r="G1045" i="2" s="1"/>
  <c r="H1044" i="2"/>
  <c r="H1045" i="2" s="1"/>
  <c r="G1049" i="2"/>
  <c r="G1050" i="2" s="1"/>
  <c r="H1049" i="2"/>
  <c r="H1050" i="2" s="1"/>
  <c r="G1057" i="2"/>
  <c r="G1058" i="2" s="1"/>
  <c r="H1057" i="2"/>
  <c r="H1058" i="2" s="1"/>
  <c r="H1059" i="2" s="1"/>
  <c r="G1059" i="2"/>
  <c r="G1065" i="2"/>
  <c r="H1065" i="2"/>
  <c r="G1069" i="2"/>
  <c r="H1069" i="2"/>
  <c r="G1070" i="2"/>
  <c r="H1070" i="2"/>
  <c r="G1071" i="2"/>
  <c r="H1071" i="2"/>
  <c r="G1073" i="2"/>
  <c r="H1073" i="2"/>
  <c r="G1075" i="2"/>
  <c r="G1077" i="2" s="1"/>
  <c r="H1075" i="2"/>
  <c r="G1076" i="2"/>
  <c r="H1077" i="2"/>
  <c r="G1078" i="2"/>
  <c r="H1078" i="2"/>
  <c r="G1079" i="2"/>
  <c r="H1079" i="2"/>
  <c r="H1081" i="2" s="1"/>
  <c r="G1080" i="2"/>
  <c r="G1081" i="2" s="1"/>
  <c r="G1082" i="2"/>
  <c r="H1082" i="2"/>
  <c r="G1083" i="2"/>
  <c r="H1083" i="2"/>
  <c r="G1085" i="2"/>
  <c r="H1085" i="2"/>
  <c r="G1093" i="2"/>
  <c r="H1093" i="2"/>
  <c r="G1094" i="2"/>
  <c r="H1094" i="2"/>
  <c r="G1095" i="2"/>
  <c r="H1095" i="2"/>
  <c r="G1096" i="2"/>
  <c r="H1096" i="2"/>
  <c r="G1097" i="2"/>
  <c r="H1097" i="2"/>
  <c r="G1098" i="2"/>
  <c r="H1098" i="2"/>
  <c r="G1099" i="2"/>
  <c r="H1099" i="2"/>
  <c r="G1100" i="2"/>
  <c r="H1100" i="2"/>
  <c r="G1101" i="2"/>
  <c r="H1101" i="2"/>
  <c r="G1102" i="2"/>
  <c r="H1102" i="2"/>
  <c r="G1103" i="2"/>
  <c r="H1103" i="2"/>
  <c r="G1104" i="2"/>
  <c r="H1104" i="2"/>
  <c r="G1105" i="2"/>
  <c r="H1105" i="2"/>
  <c r="G1106" i="2"/>
  <c r="H1106" i="2"/>
  <c r="G1107" i="2"/>
  <c r="H1107" i="2"/>
  <c r="G1108" i="2"/>
  <c r="H1108" i="2"/>
  <c r="G1119" i="2"/>
  <c r="H1119" i="2"/>
  <c r="G1123" i="2"/>
  <c r="G1125" i="2" s="1"/>
  <c r="H1123" i="2"/>
  <c r="G1124" i="2"/>
  <c r="H1125" i="2"/>
  <c r="G1128" i="2"/>
  <c r="H1128" i="2"/>
  <c r="G1130" i="2"/>
  <c r="G1131" i="2"/>
  <c r="H1131" i="2"/>
  <c r="G1143" i="2"/>
  <c r="H1143" i="2"/>
  <c r="G1144" i="2"/>
  <c r="G1146" i="2" s="1"/>
  <c r="H1144" i="2"/>
  <c r="G1145" i="2"/>
  <c r="H1146" i="2"/>
  <c r="G1147" i="2"/>
  <c r="H1147" i="2"/>
  <c r="G1148" i="2"/>
  <c r="H1148" i="2"/>
  <c r="G1149" i="2"/>
  <c r="H1149" i="2"/>
  <c r="G1150" i="2"/>
  <c r="H1150" i="2"/>
  <c r="G1151" i="2"/>
  <c r="H1151" i="2"/>
  <c r="G1152" i="2"/>
  <c r="H1152" i="2"/>
  <c r="G1153" i="2"/>
  <c r="H1153" i="2"/>
  <c r="G1154" i="2"/>
  <c r="H1154" i="2"/>
  <c r="G1155" i="2"/>
  <c r="H1155" i="2"/>
  <c r="G1156" i="2"/>
  <c r="H1156" i="2"/>
  <c r="G1157" i="2"/>
  <c r="H1157" i="2"/>
  <c r="G1158" i="2"/>
  <c r="H1158" i="2"/>
  <c r="G1159" i="2"/>
  <c r="H1159" i="2"/>
  <c r="G1160" i="2"/>
  <c r="H1160" i="2"/>
  <c r="G1161" i="2"/>
  <c r="H1161" i="2"/>
  <c r="G1162" i="2"/>
  <c r="H1162" i="2"/>
  <c r="G1163" i="2"/>
  <c r="H1163" i="2"/>
  <c r="G1177" i="2"/>
  <c r="H1177" i="2"/>
  <c r="G1187" i="2"/>
  <c r="H1187" i="2"/>
  <c r="G1191" i="2"/>
  <c r="H1191" i="2"/>
  <c r="G1192" i="2"/>
  <c r="H1192" i="2"/>
  <c r="G1193" i="2"/>
  <c r="H1193" i="2"/>
  <c r="G1194" i="2"/>
  <c r="H1194" i="2"/>
  <c r="G1195" i="2"/>
  <c r="H1195" i="2"/>
  <c r="G1196" i="2"/>
  <c r="H1196" i="2"/>
  <c r="G1197" i="2"/>
  <c r="H1197" i="2"/>
  <c r="G1198" i="2"/>
  <c r="H1198" i="2"/>
  <c r="G1199" i="2"/>
  <c r="H1199" i="2"/>
  <c r="G1200" i="2"/>
  <c r="H1200" i="2"/>
  <c r="G1201" i="2"/>
  <c r="H1201" i="2"/>
  <c r="G1202" i="2"/>
  <c r="H1202" i="2"/>
  <c r="G1203" i="2"/>
  <c r="H1203" i="2"/>
  <c r="G1204" i="2"/>
  <c r="H1204" i="2"/>
  <c r="G1205" i="2"/>
  <c r="H1205" i="2"/>
  <c r="G1206" i="2"/>
  <c r="H1206" i="2"/>
  <c r="G1207" i="2"/>
  <c r="H1207" i="2"/>
  <c r="G1208" i="2"/>
  <c r="H1208" i="2"/>
  <c r="G1209" i="2"/>
  <c r="H1209" i="2"/>
  <c r="G1210" i="2"/>
  <c r="H1210" i="2"/>
  <c r="G1212" i="2"/>
  <c r="H1212" i="2"/>
  <c r="H1213" i="2"/>
  <c r="H1217" i="2" s="1"/>
  <c r="G1214" i="2"/>
  <c r="H1214" i="2"/>
  <c r="G1231" i="2"/>
  <c r="H1231" i="2"/>
  <c r="G1232" i="2"/>
  <c r="H1232" i="2"/>
  <c r="G1233" i="2"/>
  <c r="H1233" i="2"/>
  <c r="G1234" i="2"/>
  <c r="H1234" i="2"/>
  <c r="G1235" i="2"/>
  <c r="H1235" i="2"/>
  <c r="G1236" i="2"/>
  <c r="H1236" i="2"/>
  <c r="G1238" i="2"/>
  <c r="H1238" i="2"/>
  <c r="G1239" i="2"/>
  <c r="H1239" i="2"/>
  <c r="G1242" i="2"/>
  <c r="H1242" i="2"/>
  <c r="G1245" i="2"/>
  <c r="H1245" i="2"/>
  <c r="G1249" i="2"/>
  <c r="G1263" i="2"/>
  <c r="H1263" i="2"/>
  <c r="G1267" i="2"/>
  <c r="H1267" i="2"/>
  <c r="G1268" i="2"/>
  <c r="H1268" i="2"/>
  <c r="H1270" i="2" s="1"/>
  <c r="G1269" i="2"/>
  <c r="G1270" i="2"/>
  <c r="G1272" i="2"/>
  <c r="H1272" i="2"/>
  <c r="G1273" i="2"/>
  <c r="H1273" i="2"/>
  <c r="G1274" i="2"/>
  <c r="H1274" i="2"/>
  <c r="G1275" i="2"/>
  <c r="H1275" i="2"/>
  <c r="G1276" i="2"/>
  <c r="H1276" i="2"/>
  <c r="G1277" i="2"/>
  <c r="H1277" i="2"/>
  <c r="G1278" i="2"/>
  <c r="G1279" i="2" s="1"/>
  <c r="H1279" i="2"/>
  <c r="G1280" i="2"/>
  <c r="H1280" i="2"/>
  <c r="G1293" i="2"/>
  <c r="H1293" i="2"/>
  <c r="G1294" i="2"/>
  <c r="H1294" i="2"/>
  <c r="G1295" i="2"/>
  <c r="H1295" i="2"/>
  <c r="G1296" i="2"/>
  <c r="H1296" i="2"/>
  <c r="G1297" i="2"/>
  <c r="H1297" i="2"/>
  <c r="G1298" i="2"/>
  <c r="H1298" i="2"/>
  <c r="G1299" i="2"/>
  <c r="H1299" i="2"/>
  <c r="G1300" i="2"/>
  <c r="H1300" i="2"/>
  <c r="G1301" i="2"/>
  <c r="G1303" i="2" s="1"/>
  <c r="H1301" i="2"/>
  <c r="H1303" i="2"/>
  <c r="G1304" i="2"/>
  <c r="H1304" i="2"/>
  <c r="G1305" i="2"/>
  <c r="H1305" i="2"/>
  <c r="H1307" i="2" s="1"/>
  <c r="G1307" i="2"/>
  <c r="G1308" i="2"/>
  <c r="H1308" i="2"/>
  <c r="G1309" i="2"/>
  <c r="G1311" i="2" s="1"/>
  <c r="G1316" i="2" s="1"/>
  <c r="H1309" i="2"/>
  <c r="H1311" i="2" s="1"/>
  <c r="G1312" i="2"/>
  <c r="H1312" i="2"/>
  <c r="G1313" i="2"/>
  <c r="H1313" i="2"/>
  <c r="G1314" i="2"/>
  <c r="H1314" i="2"/>
  <c r="G1315" i="2"/>
  <c r="H1315" i="2"/>
  <c r="G1321" i="2"/>
  <c r="H1321" i="2"/>
  <c r="G1327" i="2"/>
  <c r="H1327" i="2"/>
  <c r="G1332" i="2"/>
  <c r="H1332" i="2"/>
  <c r="G1333" i="2"/>
  <c r="H1333" i="2"/>
  <c r="G1334" i="2"/>
  <c r="H1334" i="2"/>
  <c r="G1335" i="2"/>
  <c r="H1335" i="2"/>
  <c r="G1336" i="2"/>
  <c r="H1336" i="2"/>
  <c r="G1337" i="2"/>
  <c r="H1337" i="2"/>
  <c r="G1339" i="2"/>
  <c r="H1339" i="2"/>
  <c r="G1342" i="2"/>
  <c r="G1349" i="2"/>
  <c r="H1349" i="2"/>
  <c r="H1350" i="2" s="1"/>
  <c r="G1350" i="2"/>
  <c r="G1354" i="2"/>
  <c r="H1354" i="2"/>
  <c r="H1360" i="2" s="1"/>
  <c r="G1355" i="2"/>
  <c r="G1360" i="2" s="1"/>
  <c r="H1355" i="2"/>
  <c r="G1356" i="2"/>
  <c r="H1356" i="2"/>
  <c r="G1357" i="2"/>
  <c r="H1357" i="2"/>
  <c r="G1361" i="2"/>
  <c r="G1363" i="2" s="1"/>
  <c r="H1361" i="2"/>
  <c r="G1362" i="2"/>
  <c r="H1362" i="2"/>
  <c r="G1367" i="2"/>
  <c r="H1367" i="2"/>
  <c r="G1368" i="2"/>
  <c r="H1368" i="2"/>
  <c r="G1369" i="2"/>
  <c r="H1369" i="2"/>
  <c r="G1370" i="2"/>
  <c r="H1370" i="2"/>
  <c r="G1371" i="2"/>
  <c r="H1371" i="2"/>
  <c r="G1372" i="2"/>
  <c r="H1372" i="2"/>
  <c r="G1373" i="2"/>
  <c r="H1373" i="2"/>
  <c r="G1376" i="2"/>
  <c r="G1383" i="2"/>
  <c r="H1383" i="2"/>
  <c r="G1384" i="2"/>
  <c r="H1384" i="2"/>
  <c r="G1385" i="2"/>
  <c r="H1385" i="2"/>
  <c r="G1386" i="2"/>
  <c r="H1386" i="2"/>
  <c r="G1387" i="2"/>
  <c r="H1387" i="2"/>
  <c r="G1388" i="2"/>
  <c r="H1388" i="2"/>
  <c r="G1389" i="2"/>
  <c r="H1389" i="2"/>
  <c r="G1390" i="2"/>
  <c r="H1390" i="2"/>
  <c r="G1391" i="2"/>
  <c r="H1391" i="2"/>
  <c r="G1392" i="2"/>
  <c r="H1392" i="2"/>
  <c r="G1394" i="2"/>
  <c r="H1394" i="2"/>
  <c r="G1395" i="2"/>
  <c r="H1395" i="2"/>
  <c r="G1406" i="2"/>
  <c r="H1406" i="2"/>
  <c r="G1415" i="2"/>
  <c r="H1415" i="2"/>
  <c r="G1416" i="2"/>
  <c r="H1416" i="2"/>
  <c r="G1417" i="2"/>
  <c r="H1417" i="2"/>
  <c r="G1418" i="2"/>
  <c r="H1418" i="2"/>
  <c r="G1419" i="2"/>
  <c r="H1419" i="2"/>
  <c r="G1420" i="2"/>
  <c r="H1420" i="2"/>
  <c r="G1421" i="2"/>
  <c r="H1421" i="2"/>
  <c r="G1422" i="2"/>
  <c r="H1422" i="2"/>
  <c r="G1423" i="2"/>
  <c r="H1423" i="2"/>
  <c r="G1424" i="2"/>
  <c r="H1424" i="2"/>
  <c r="G1425" i="2"/>
  <c r="H1425" i="2"/>
  <c r="G1426" i="2"/>
  <c r="H1426" i="2"/>
  <c r="G1427" i="2"/>
  <c r="H1427" i="2"/>
  <c r="G1428" i="2"/>
  <c r="H1428" i="2"/>
  <c r="G1429" i="2"/>
  <c r="H1429" i="2"/>
  <c r="G1430" i="2"/>
  <c r="H1430" i="2"/>
  <c r="G1431" i="2"/>
  <c r="H1431" i="2"/>
  <c r="G1432" i="2"/>
  <c r="H1432" i="2"/>
  <c r="G1433" i="2"/>
  <c r="G1434" i="2"/>
  <c r="H1434" i="2"/>
  <c r="G1436" i="2"/>
  <c r="G1437" i="2"/>
  <c r="G1439" i="2" s="1"/>
  <c r="G1438" i="2"/>
  <c r="H1438" i="2"/>
  <c r="G1450" i="2"/>
  <c r="H1450" i="2"/>
  <c r="G1454" i="2"/>
  <c r="G1458" i="2" s="1"/>
  <c r="H1454" i="2"/>
  <c r="G1455" i="2"/>
  <c r="H1455" i="2"/>
  <c r="G1456" i="2"/>
  <c r="G1457" i="2"/>
  <c r="H1457" i="2"/>
  <c r="H1458" i="2"/>
  <c r="G1459" i="2"/>
  <c r="G1460" i="2" s="1"/>
  <c r="G1465" i="2"/>
  <c r="H1465" i="2"/>
  <c r="G1466" i="2"/>
  <c r="H1466" i="2"/>
  <c r="G1467" i="2"/>
  <c r="H1467" i="2"/>
  <c r="G1468" i="2"/>
  <c r="H1468" i="2"/>
  <c r="G1469" i="2"/>
  <c r="H1469" i="2"/>
  <c r="G1470" i="2"/>
  <c r="H1470" i="2"/>
  <c r="G1471" i="2"/>
  <c r="H1471" i="2"/>
  <c r="G1472" i="2"/>
  <c r="H1472" i="2"/>
  <c r="G1473" i="2"/>
  <c r="H1473" i="2"/>
  <c r="G1474" i="2"/>
  <c r="H1474" i="2"/>
  <c r="G1475" i="2"/>
  <c r="H1475" i="2"/>
  <c r="H1478" i="2"/>
  <c r="G1496" i="2"/>
  <c r="H1496" i="2"/>
  <c r="G1500" i="2"/>
  <c r="H1500" i="2"/>
  <c r="H1502" i="2" s="1"/>
  <c r="G1502" i="2"/>
  <c r="G1503" i="2"/>
  <c r="H1503" i="2"/>
  <c r="G1504" i="2"/>
  <c r="H1504" i="2"/>
  <c r="H1509" i="2"/>
  <c r="G1514" i="2"/>
  <c r="G1519" i="2" s="1"/>
  <c r="G1520" i="2" s="1"/>
  <c r="H1514" i="2"/>
  <c r="G1515" i="2"/>
  <c r="H1515" i="2"/>
  <c r="H1519" i="2" s="1"/>
  <c r="G1521" i="2"/>
  <c r="H1521" i="2"/>
  <c r="G1527" i="2"/>
  <c r="H1527" i="2"/>
  <c r="G1528" i="2"/>
  <c r="H1528" i="2"/>
  <c r="G1530" i="2"/>
  <c r="H1530" i="2"/>
  <c r="H1531" i="2" s="1"/>
  <c r="H1532" i="2" s="1"/>
  <c r="G1536" i="2"/>
  <c r="G1537" i="2"/>
  <c r="G1538" i="2" s="1"/>
  <c r="H1537" i="2"/>
  <c r="H1538" i="2" s="1"/>
  <c r="G1540" i="2"/>
  <c r="H1540" i="2"/>
  <c r="H1542" i="2" s="1"/>
  <c r="H1545" i="2" s="1"/>
  <c r="G1541" i="2"/>
  <c r="H1541" i="2"/>
  <c r="G1551" i="2"/>
  <c r="G1554" i="2" s="1"/>
  <c r="H1551" i="2"/>
  <c r="H1554" i="2" s="1"/>
  <c r="G1559" i="2"/>
  <c r="H1559" i="2"/>
  <c r="G1563" i="2"/>
  <c r="H1563" i="2"/>
  <c r="G1565" i="2"/>
  <c r="H1565" i="2"/>
  <c r="G1566" i="2"/>
  <c r="H1566" i="2"/>
  <c r="G1567" i="2"/>
  <c r="H1567" i="2"/>
  <c r="G1568" i="2"/>
  <c r="H1568" i="2"/>
  <c r="G1571" i="2"/>
  <c r="H1571" i="2"/>
  <c r="G1572" i="2"/>
  <c r="H1572" i="2"/>
  <c r="G1573" i="2"/>
  <c r="H1573" i="2"/>
  <c r="G1574" i="2"/>
  <c r="H1574" i="2"/>
  <c r="G1575" i="2"/>
  <c r="H1575" i="2"/>
  <c r="G1581" i="2"/>
  <c r="H1581" i="2"/>
  <c r="G1586" i="2"/>
  <c r="H1586" i="2"/>
  <c r="G1587" i="2"/>
  <c r="H1587" i="2"/>
  <c r="G1588" i="2"/>
  <c r="H1588" i="2"/>
  <c r="G1589" i="2"/>
  <c r="H1589" i="2"/>
  <c r="G1590" i="2"/>
  <c r="H1590" i="2"/>
  <c r="G1591" i="2"/>
  <c r="H1591" i="2"/>
  <c r="G1592" i="2"/>
  <c r="H1592" i="2"/>
  <c r="G1593" i="2"/>
  <c r="H1593" i="2"/>
  <c r="G1604" i="2"/>
  <c r="H1604" i="2"/>
  <c r="G1605" i="2"/>
  <c r="H1605" i="2"/>
  <c r="G1606" i="2"/>
  <c r="G1607" i="2"/>
  <c r="H1607" i="2"/>
  <c r="H1610" i="2" s="1"/>
  <c r="G1612" i="2"/>
  <c r="H1612" i="2"/>
  <c r="G1618" i="2"/>
  <c r="H1618" i="2"/>
  <c r="G1620" i="2"/>
  <c r="H1620" i="2"/>
  <c r="G1621" i="2"/>
  <c r="H1621" i="2"/>
  <c r="G1622" i="2"/>
  <c r="H1622" i="2"/>
  <c r="G1623" i="2"/>
  <c r="H1623" i="2"/>
  <c r="G1624" i="2"/>
  <c r="H1624" i="2"/>
  <c r="G1625" i="2"/>
  <c r="H1625" i="2"/>
  <c r="G1626" i="2"/>
  <c r="H1626" i="2"/>
  <c r="G1627" i="2"/>
  <c r="H1627" i="2"/>
  <c r="G1628" i="2"/>
  <c r="H1628" i="2"/>
  <c r="G1640" i="2"/>
  <c r="H1640" i="2"/>
  <c r="G1641" i="2"/>
  <c r="H1641" i="2"/>
  <c r="G1644" i="2"/>
  <c r="H1644" i="2"/>
  <c r="G1645" i="2"/>
  <c r="H1645" i="2"/>
  <c r="G1646" i="2"/>
  <c r="H1646" i="2"/>
  <c r="G1647" i="2"/>
  <c r="H1647" i="2"/>
  <c r="G1648" i="2"/>
  <c r="H1648" i="2"/>
  <c r="H1650" i="2"/>
  <c r="H1654" i="2"/>
  <c r="G1659" i="2"/>
  <c r="H1659" i="2"/>
  <c r="G1660" i="2"/>
  <c r="H1660" i="2"/>
  <c r="G1662" i="2"/>
  <c r="H1662" i="2"/>
  <c r="G1664" i="2"/>
  <c r="G1667" i="2" s="1"/>
  <c r="H1664" i="2"/>
  <c r="H1667" i="2"/>
  <c r="G1668" i="2"/>
  <c r="G1675" i="2" s="1"/>
  <c r="H1668" i="2"/>
  <c r="G1669" i="2"/>
  <c r="H1669" i="2"/>
  <c r="H1682" i="2"/>
  <c r="G1683" i="2"/>
  <c r="H1683" i="2"/>
  <c r="G1689" i="2"/>
  <c r="H1689" i="2"/>
  <c r="G1690" i="2"/>
  <c r="H1690" i="2"/>
  <c r="H1691" i="2" s="1"/>
  <c r="G1691" i="2"/>
  <c r="H1692" i="2"/>
  <c r="G1693" i="2"/>
  <c r="G1697" i="2"/>
  <c r="H1697" i="2"/>
  <c r="G1698" i="2"/>
  <c r="H1698" i="2"/>
  <c r="G1699" i="2"/>
  <c r="H1699" i="2"/>
  <c r="G1700" i="2"/>
  <c r="H1700" i="2"/>
  <c r="G1701" i="2"/>
  <c r="H1701" i="2"/>
  <c r="G1702" i="2"/>
  <c r="H1702" i="2"/>
  <c r="G1703" i="2"/>
  <c r="H1703" i="2"/>
  <c r="G1705" i="2"/>
  <c r="H1705" i="2"/>
  <c r="G1706" i="2"/>
  <c r="H1706" i="2"/>
  <c r="G1707" i="2"/>
  <c r="H1707" i="2"/>
  <c r="G1708" i="2"/>
  <c r="H1708" i="2"/>
  <c r="G1710" i="2"/>
  <c r="H1710" i="2"/>
  <c r="G1711" i="2"/>
  <c r="H1711" i="2"/>
  <c r="G1713" i="2"/>
  <c r="H1713" i="2"/>
  <c r="G1714" i="2"/>
  <c r="H1714" i="2"/>
  <c r="G1715" i="2"/>
  <c r="G1717" i="2" s="1"/>
  <c r="H1715" i="2"/>
  <c r="H1717" i="2" s="1"/>
  <c r="H1725" i="2"/>
  <c r="G1727" i="2"/>
  <c r="H1729" i="2"/>
  <c r="G1734" i="2"/>
  <c r="H1734" i="2"/>
  <c r="G1735" i="2"/>
  <c r="H1735" i="2"/>
  <c r="G1736" i="2"/>
  <c r="H1736" i="2"/>
  <c r="G1737" i="2"/>
  <c r="H1737" i="2"/>
  <c r="G1741" i="2"/>
  <c r="G1744" i="2"/>
  <c r="H1744" i="2"/>
  <c r="H1746" i="2"/>
  <c r="H1750" i="2"/>
  <c r="G1755" i="2"/>
  <c r="H1755" i="2"/>
  <c r="G1756" i="2"/>
  <c r="H1756" i="2"/>
  <c r="G1757" i="2"/>
  <c r="H1757" i="2"/>
  <c r="G1758" i="2"/>
  <c r="H1758" i="2"/>
  <c r="G1759" i="2"/>
  <c r="H1759" i="2"/>
  <c r="G1760" i="2"/>
  <c r="H1760" i="2"/>
  <c r="G1761" i="2"/>
  <c r="H1761" i="2"/>
  <c r="G1762" i="2"/>
  <c r="H1762" i="2"/>
  <c r="G1763" i="2"/>
  <c r="H1763" i="2"/>
  <c r="G1764" i="2"/>
  <c r="H1764" i="2"/>
  <c r="G1765" i="2"/>
  <c r="H1765" i="2"/>
  <c r="G1779" i="2"/>
  <c r="H1779" i="2"/>
  <c r="G1780" i="2"/>
  <c r="H1780" i="2"/>
  <c r="G1781" i="2"/>
  <c r="H1781" i="2"/>
  <c r="G1782" i="2"/>
  <c r="H1782" i="2"/>
  <c r="G1783" i="2"/>
  <c r="H1783" i="2"/>
  <c r="G1784" i="2"/>
  <c r="H1784" i="2"/>
  <c r="G1785" i="2"/>
  <c r="H1785" i="2"/>
  <c r="G1786" i="2"/>
  <c r="H1786" i="2"/>
  <c r="G1789" i="2"/>
  <c r="H1789" i="2"/>
  <c r="G1798" i="2"/>
  <c r="H1798" i="2"/>
  <c r="H1800" i="2" s="1"/>
  <c r="G1800" i="2"/>
  <c r="G1801" i="2"/>
  <c r="H1801" i="2"/>
  <c r="H1803" i="2" s="1"/>
  <c r="G1802" i="2"/>
  <c r="G1804" i="2"/>
  <c r="G1806" i="2" s="1"/>
  <c r="H1804" i="2"/>
  <c r="G1805" i="2"/>
  <c r="H1806" i="2"/>
  <c r="G1807" i="2"/>
  <c r="H1807" i="2"/>
  <c r="G1808" i="2"/>
  <c r="G1809" i="2"/>
  <c r="H1809" i="2"/>
  <c r="G1810" i="2"/>
  <c r="H1810" i="2"/>
  <c r="G1811" i="2"/>
  <c r="G1812" i="2"/>
  <c r="H1812" i="2"/>
  <c r="G1813" i="2"/>
  <c r="H1813" i="2"/>
  <c r="H1815" i="2" s="1"/>
  <c r="G1814" i="2"/>
  <c r="G1815" i="2" s="1"/>
  <c r="G1816" i="2"/>
  <c r="H1816" i="2"/>
  <c r="H1818" i="2" s="1"/>
  <c r="G1817" i="2"/>
  <c r="G1823" i="2"/>
  <c r="H1823" i="2"/>
  <c r="G1824" i="2"/>
  <c r="H1824" i="2"/>
  <c r="H1826" i="2" s="1"/>
  <c r="G1825" i="2"/>
  <c r="G1826" i="2" s="1"/>
  <c r="G1827" i="2"/>
  <c r="H1827" i="2"/>
  <c r="G1828" i="2"/>
  <c r="G1829" i="2"/>
  <c r="H1829" i="2"/>
  <c r="G1830" i="2"/>
  <c r="H1830" i="2"/>
  <c r="H1832" i="2" s="1"/>
  <c r="G1831" i="2"/>
  <c r="G1832" i="2"/>
  <c r="G1833" i="2"/>
  <c r="G1835" i="2" s="1"/>
  <c r="H1833" i="2"/>
  <c r="G1834" i="2"/>
  <c r="H1835" i="2"/>
  <c r="G1838" i="2"/>
  <c r="H1838" i="2"/>
  <c r="G1839" i="2"/>
  <c r="H1839" i="2"/>
  <c r="H1841" i="2" s="1"/>
  <c r="G1840" i="2"/>
  <c r="G1841" i="2" s="1"/>
  <c r="G1843" i="2"/>
  <c r="H1843" i="2"/>
  <c r="G1844" i="2"/>
  <c r="H1845" i="2"/>
  <c r="G1849" i="2"/>
  <c r="G1851" i="2" s="1"/>
  <c r="H1849" i="2"/>
  <c r="H1851" i="2" s="1"/>
  <c r="G1850" i="2"/>
  <c r="G1852" i="2"/>
  <c r="G1854" i="2" s="1"/>
  <c r="H1852" i="2"/>
  <c r="H1854" i="2"/>
  <c r="G1855" i="2"/>
  <c r="G1857" i="2" s="1"/>
  <c r="H1855" i="2"/>
  <c r="H1857" i="2" s="1"/>
  <c r="G1858" i="2"/>
  <c r="H1858" i="2"/>
  <c r="H1860" i="2" s="1"/>
  <c r="G1860" i="2"/>
  <c r="G1862" i="2"/>
  <c r="H1862" i="2"/>
  <c r="G1870" i="2"/>
  <c r="H1870" i="2"/>
  <c r="G1871" i="2"/>
  <c r="G1873" i="2" s="1"/>
  <c r="H1871" i="2"/>
  <c r="H1873" i="2"/>
  <c r="G1874" i="2"/>
  <c r="G1875" i="2" s="1"/>
  <c r="H1874" i="2"/>
  <c r="H1875" i="2"/>
  <c r="G1880" i="2"/>
  <c r="H1880" i="2"/>
  <c r="G1885" i="2"/>
  <c r="H1885" i="2"/>
  <c r="G1890" i="2"/>
  <c r="H1890" i="2"/>
  <c r="G1894" i="2"/>
  <c r="H1894" i="2"/>
  <c r="G1895" i="2"/>
  <c r="H1895" i="2"/>
  <c r="G1896" i="2"/>
  <c r="H1896" i="2"/>
  <c r="G1897" i="2"/>
  <c r="H1897" i="2"/>
  <c r="G1898" i="2"/>
  <c r="H1898" i="2"/>
  <c r="G1899" i="2"/>
  <c r="H1899" i="2"/>
  <c r="G1904" i="2"/>
  <c r="H1904" i="2"/>
  <c r="G1912" i="2"/>
  <c r="H1912" i="2"/>
  <c r="G1913" i="2"/>
  <c r="H1913" i="2"/>
  <c r="G1914" i="2"/>
  <c r="H1914" i="2"/>
  <c r="G1915" i="2"/>
  <c r="G1917" i="2" s="1"/>
  <c r="G1933" i="2" s="1"/>
  <c r="H1915" i="2"/>
  <c r="H1917" i="2"/>
  <c r="G1918" i="2"/>
  <c r="H1918" i="2"/>
  <c r="H1920" i="2" s="1"/>
  <c r="G1920" i="2"/>
  <c r="G1926" i="2"/>
  <c r="H1926" i="2"/>
  <c r="G1927" i="2"/>
  <c r="H1927" i="2"/>
  <c r="G1930" i="2"/>
  <c r="H1930" i="2"/>
  <c r="G1934" i="2"/>
  <c r="G1939" i="2" s="1"/>
  <c r="G1943" i="2"/>
  <c r="H1943" i="2"/>
  <c r="G1944" i="2"/>
  <c r="G1947" i="2" s="1"/>
  <c r="H1944" i="2"/>
  <c r="G1945" i="2"/>
  <c r="H1947" i="2"/>
  <c r="G1948" i="2"/>
  <c r="G1950" i="2" s="1"/>
  <c r="H1948" i="2"/>
  <c r="G1949" i="2"/>
  <c r="H1950" i="2"/>
  <c r="G1951" i="2"/>
  <c r="H1951" i="2"/>
  <c r="G1952" i="2"/>
  <c r="G1953" i="2"/>
  <c r="H1953" i="2"/>
  <c r="G1954" i="2"/>
  <c r="H1954" i="2"/>
  <c r="H1956" i="2" s="1"/>
  <c r="G1955" i="2"/>
  <c r="G1956" i="2" s="1"/>
  <c r="G1958" i="2"/>
  <c r="H1958" i="2"/>
  <c r="H1960" i="2" s="1"/>
  <c r="G1960" i="2"/>
  <c r="H1964" i="2"/>
  <c r="G1971" i="2"/>
  <c r="H1971" i="2"/>
  <c r="G1972" i="2"/>
  <c r="H1972" i="2"/>
  <c r="G1973" i="2"/>
  <c r="H1973" i="2"/>
  <c r="G1974" i="2"/>
  <c r="H1974" i="2"/>
  <c r="G1975" i="2"/>
  <c r="H1975" i="2"/>
  <c r="G1982" i="2"/>
  <c r="G1983" i="2"/>
  <c r="H1983" i="2"/>
  <c r="H1986" i="2" s="1"/>
  <c r="G1995" i="2"/>
  <c r="G1996" i="2" s="1"/>
  <c r="H1995" i="2"/>
  <c r="H1996" i="2"/>
  <c r="G1998" i="2"/>
  <c r="H1998" i="2"/>
  <c r="G2004" i="2"/>
  <c r="H2004" i="2"/>
  <c r="H2005" i="2" s="1"/>
  <c r="H2007" i="2" s="1"/>
  <c r="G2005" i="2"/>
  <c r="G2007" i="2" s="1"/>
  <c r="G2011" i="2"/>
  <c r="H2011" i="2"/>
  <c r="G2012" i="2"/>
  <c r="H2012" i="2"/>
  <c r="G2013" i="2"/>
  <c r="G2015" i="2" s="1"/>
  <c r="H2013" i="2"/>
  <c r="G2014" i="2"/>
  <c r="H2015" i="2"/>
  <c r="G2016" i="2"/>
  <c r="H2016" i="2"/>
  <c r="G2017" i="2"/>
  <c r="H2017" i="2"/>
  <c r="G2018" i="2"/>
  <c r="H2018" i="2"/>
  <c r="G2019" i="2"/>
  <c r="H2019" i="2"/>
  <c r="G2020" i="2"/>
  <c r="H2020" i="2"/>
  <c r="G2021" i="2"/>
  <c r="H2021" i="2"/>
  <c r="G2022" i="2"/>
  <c r="H2022" i="2"/>
  <c r="G2023" i="2"/>
  <c r="H2023" i="2"/>
  <c r="G2024" i="2"/>
  <c r="H2024" i="2"/>
  <c r="G2025" i="2"/>
  <c r="H2025" i="2"/>
  <c r="G2027" i="2"/>
  <c r="H2027" i="2"/>
  <c r="G2028" i="2"/>
  <c r="H2028" i="2"/>
  <c r="G2030" i="2"/>
  <c r="H2030" i="2"/>
  <c r="G2032" i="2"/>
  <c r="H2032" i="2"/>
  <c r="G2034" i="2"/>
  <c r="H2034" i="2"/>
  <c r="G2041" i="2"/>
  <c r="H2041" i="2"/>
  <c r="G2047" i="2"/>
  <c r="H2047" i="2"/>
  <c r="G2051" i="2"/>
  <c r="H2051" i="2"/>
  <c r="G2052" i="2"/>
  <c r="H2052" i="2"/>
  <c r="G2053" i="2"/>
  <c r="H2053" i="2"/>
  <c r="G2054" i="2"/>
  <c r="H2054" i="2"/>
  <c r="G2055" i="2"/>
  <c r="H2055" i="2"/>
  <c r="G2056" i="2"/>
  <c r="H2056" i="2"/>
  <c r="H2059" i="2" s="1"/>
  <c r="G2059" i="2"/>
  <c r="G2060" i="2"/>
  <c r="H2060" i="2"/>
  <c r="G2061" i="2"/>
  <c r="H2061" i="2"/>
  <c r="G2062" i="2"/>
  <c r="H2062" i="2"/>
  <c r="G2063" i="2"/>
  <c r="H2063" i="2"/>
  <c r="G2064" i="2"/>
  <c r="H2064" i="2"/>
  <c r="G2065" i="2"/>
  <c r="H2065" i="2"/>
  <c r="G2066" i="2"/>
  <c r="H2066" i="2"/>
  <c r="G2067" i="2"/>
  <c r="H2067" i="2"/>
  <c r="G2068" i="2"/>
  <c r="H2068" i="2"/>
  <c r="G2069" i="2"/>
  <c r="H2069" i="2"/>
  <c r="G2070" i="2"/>
  <c r="H2070" i="2"/>
  <c r="G2071" i="2"/>
  <c r="H2071" i="2"/>
  <c r="G2072" i="2"/>
  <c r="H2072" i="2"/>
  <c r="G2076" i="2"/>
  <c r="H2076" i="2"/>
  <c r="H2078" i="2" s="1"/>
  <c r="G2078" i="2"/>
  <c r="G2080" i="2"/>
  <c r="H2080" i="2"/>
  <c r="G2082" i="2"/>
  <c r="H2082" i="2"/>
  <c r="G2085" i="2"/>
  <c r="G2088" i="2"/>
  <c r="H2088" i="2"/>
  <c r="G2089" i="2"/>
  <c r="H2089" i="2"/>
  <c r="G2094" i="2"/>
  <c r="H2094" i="2"/>
  <c r="G2100" i="2"/>
  <c r="H2100" i="2"/>
  <c r="G2105" i="2"/>
  <c r="G2107" i="2" s="1"/>
  <c r="H2105" i="2"/>
  <c r="H2107" i="2"/>
  <c r="G2108" i="2"/>
  <c r="H2108" i="2"/>
  <c r="G2115" i="2"/>
  <c r="H2115" i="2"/>
  <c r="G2116" i="2"/>
  <c r="H2116" i="2"/>
  <c r="G2118" i="2"/>
  <c r="H2118" i="2"/>
  <c r="G2124" i="2"/>
  <c r="H2124" i="2"/>
  <c r="G2125" i="2"/>
  <c r="H2125" i="2"/>
  <c r="G2126" i="2"/>
  <c r="H2126" i="2"/>
  <c r="G2130" i="2"/>
  <c r="G2138" i="2"/>
  <c r="H2138" i="2"/>
  <c r="G2140" i="2"/>
  <c r="H2140" i="2"/>
  <c r="G2141" i="2"/>
  <c r="H2141" i="2"/>
  <c r="G2143" i="2"/>
  <c r="H2143" i="2"/>
  <c r="G2144" i="2"/>
  <c r="H2144" i="2"/>
  <c r="G2146" i="2"/>
  <c r="H2146" i="2"/>
  <c r="G2147" i="2"/>
  <c r="H2147" i="2"/>
  <c r="G2148" i="2"/>
  <c r="H2148" i="2"/>
  <c r="G2149" i="2"/>
  <c r="H2149" i="2"/>
  <c r="G2150" i="2"/>
  <c r="G2152" i="2" s="1"/>
  <c r="H2150" i="2"/>
  <c r="H2152" i="2" s="1"/>
  <c r="G2153" i="2"/>
  <c r="G2155" i="2" s="1"/>
  <c r="H2153" i="2"/>
  <c r="H2155" i="2" s="1"/>
  <c r="G2156" i="2"/>
  <c r="H2156" i="2"/>
  <c r="G2157" i="2"/>
  <c r="G2159" i="2" s="1"/>
  <c r="H2157" i="2"/>
  <c r="H2159" i="2"/>
  <c r="G2160" i="2"/>
  <c r="H2160" i="2"/>
  <c r="G2162" i="2"/>
  <c r="H2162" i="2"/>
  <c r="G2165" i="2"/>
  <c r="G2167" i="2" s="1"/>
  <c r="H2165" i="2"/>
  <c r="G2166" i="2"/>
  <c r="H2167" i="2"/>
  <c r="G2184" i="2"/>
  <c r="G2185" i="2"/>
  <c r="H2185" i="2"/>
  <c r="H2189" i="2" s="1"/>
  <c r="G2186" i="2"/>
  <c r="G2187" i="2"/>
  <c r="G2189" i="2"/>
  <c r="G2190" i="2"/>
  <c r="G2193" i="2" s="1"/>
  <c r="H2190" i="2"/>
  <c r="H2192" i="2" s="1"/>
  <c r="G2192" i="2" s="1"/>
  <c r="H2193" i="2"/>
  <c r="G2197" i="2"/>
  <c r="H2197" i="2"/>
  <c r="G2198" i="2"/>
  <c r="H2198" i="2"/>
  <c r="G2199" i="2"/>
  <c r="H2199" i="2"/>
  <c r="G2200" i="2"/>
  <c r="H2200" i="2"/>
  <c r="G2201" i="2"/>
  <c r="H2201" i="2"/>
  <c r="G2202" i="2"/>
  <c r="H2202" i="2"/>
  <c r="G2203" i="2"/>
  <c r="H2203" i="2"/>
  <c r="G2204" i="2"/>
  <c r="G2205" i="2"/>
  <c r="H2205" i="2"/>
  <c r="G2206" i="2"/>
  <c r="H2206" i="2"/>
  <c r="G2217" i="2"/>
  <c r="H2217" i="2"/>
  <c r="G2221" i="2"/>
  <c r="H2221" i="2"/>
  <c r="G2222" i="2"/>
  <c r="H2222" i="2"/>
  <c r="G2223" i="2"/>
  <c r="G2231" i="2" s="1"/>
  <c r="H2223" i="2"/>
  <c r="G2227" i="2"/>
  <c r="H2227" i="2"/>
  <c r="G2240" i="2"/>
  <c r="H2240" i="2"/>
  <c r="G2241" i="2"/>
  <c r="H2241" i="2"/>
  <c r="G2242" i="2"/>
  <c r="G2243" i="2"/>
  <c r="H2243" i="2"/>
  <c r="G2244" i="2"/>
  <c r="G2245" i="2"/>
  <c r="G2246" i="2"/>
  <c r="G2249" i="2"/>
  <c r="G2251" i="2" s="1"/>
  <c r="G2252" i="2"/>
  <c r="G2253" i="2"/>
  <c r="H2253" i="2"/>
  <c r="G2254" i="2"/>
  <c r="G2265" i="2"/>
  <c r="H2265" i="2"/>
  <c r="G2266" i="2"/>
  <c r="H2266" i="2"/>
  <c r="G2267" i="2"/>
  <c r="G2268" i="2"/>
  <c r="G2269" i="2"/>
  <c r="H2269" i="2"/>
  <c r="G2270" i="2"/>
  <c r="G2271" i="2"/>
  <c r="H2271" i="2"/>
  <c r="G2272" i="2"/>
  <c r="H2272" i="2"/>
  <c r="G2273" i="2"/>
  <c r="H2273" i="2"/>
  <c r="G2276" i="2"/>
  <c r="G2278" i="2" s="1"/>
  <c r="H2276" i="2"/>
  <c r="H2278" i="2" s="1"/>
  <c r="G2279" i="2"/>
  <c r="H2279" i="2"/>
  <c r="G2280" i="2"/>
  <c r="G2281" i="2"/>
  <c r="H2281" i="2"/>
  <c r="G2291" i="2"/>
  <c r="H2291" i="2"/>
  <c r="G2292" i="2"/>
  <c r="H2292" i="2"/>
  <c r="G2293" i="2"/>
  <c r="H2293" i="2"/>
  <c r="G2294" i="2"/>
  <c r="H2294" i="2"/>
  <c r="G2295" i="2"/>
  <c r="H2295" i="2"/>
  <c r="G2296" i="2"/>
  <c r="H2296" i="2"/>
  <c r="G2297" i="2"/>
  <c r="H2297" i="2"/>
  <c r="G2308" i="2"/>
  <c r="H2308" i="2"/>
  <c r="G2312" i="2"/>
  <c r="H2312" i="2"/>
  <c r="H2313" i="2"/>
  <c r="H2314" i="2"/>
  <c r="H2316" i="2"/>
  <c r="G2320" i="2"/>
  <c r="H2320" i="2"/>
  <c r="G2321" i="2"/>
  <c r="H2321" i="2"/>
  <c r="G2322" i="2"/>
  <c r="H2322" i="2"/>
  <c r="G2323" i="2"/>
  <c r="H2323" i="2"/>
  <c r="G2324" i="2"/>
  <c r="H2324" i="2"/>
  <c r="G2325" i="2"/>
  <c r="H2325" i="2"/>
  <c r="G2336" i="2"/>
  <c r="H2336" i="2"/>
  <c r="G2341" i="2"/>
  <c r="H2341" i="2"/>
  <c r="G2345" i="2"/>
  <c r="H2345" i="2"/>
  <c r="G2346" i="2"/>
  <c r="H2346" i="2"/>
  <c r="G2347" i="2"/>
  <c r="H2347" i="2"/>
  <c r="G2348" i="2"/>
  <c r="H2348" i="2"/>
  <c r="G2349" i="2"/>
  <c r="H2349" i="2"/>
  <c r="G2350" i="2"/>
  <c r="H2350" i="2"/>
  <c r="G2351" i="2"/>
  <c r="H2351" i="2"/>
  <c r="G2352" i="2"/>
  <c r="H2352" i="2"/>
  <c r="G2353" i="2"/>
  <c r="H2353" i="2"/>
  <c r="G2354" i="2"/>
  <c r="H2354" i="2"/>
  <c r="G2355" i="2"/>
  <c r="H2355" i="2"/>
  <c r="G2357" i="2"/>
  <c r="G2377" i="2" s="1"/>
  <c r="H2357" i="2"/>
  <c r="G2358" i="2"/>
  <c r="H2358" i="2"/>
  <c r="H2360" i="2" s="1"/>
  <c r="G2360" i="2"/>
  <c r="G2361" i="2"/>
  <c r="H2361" i="2"/>
  <c r="G2362" i="2"/>
  <c r="H2362" i="2"/>
  <c r="G2363" i="2"/>
  <c r="H2363" i="2"/>
  <c r="H2365" i="2" s="1"/>
  <c r="G2365" i="2"/>
  <c r="G2366" i="2"/>
  <c r="H2366" i="2"/>
  <c r="H2368" i="2" s="1"/>
  <c r="G2368" i="2"/>
  <c r="G2370" i="2"/>
  <c r="H2370" i="2"/>
  <c r="G2376" i="2"/>
  <c r="H2376" i="2"/>
  <c r="G2378" i="2"/>
  <c r="G2380" i="2" s="1"/>
  <c r="G2379" i="2"/>
  <c r="H2379" i="2"/>
  <c r="G2384" i="2"/>
  <c r="H2384" i="2"/>
  <c r="G2385" i="2"/>
  <c r="H2385" i="2"/>
  <c r="G2386" i="2"/>
  <c r="H2386" i="2"/>
  <c r="G2387" i="2"/>
  <c r="H2387" i="2"/>
  <c r="G2388" i="2"/>
  <c r="H2388" i="2"/>
  <c r="G2389" i="2"/>
  <c r="H2389" i="2"/>
  <c r="G2390" i="2"/>
  <c r="H2390" i="2"/>
  <c r="G2391" i="2"/>
  <c r="H2391" i="2"/>
  <c r="G2392" i="2"/>
  <c r="H2392" i="2"/>
  <c r="G2393" i="2"/>
  <c r="H2393" i="2"/>
  <c r="G2394" i="2"/>
  <c r="H2394" i="2"/>
  <c r="G2397" i="2"/>
  <c r="G2405" i="2"/>
  <c r="H2405" i="2"/>
  <c r="G2409" i="2"/>
  <c r="H2409" i="2"/>
  <c r="G2410" i="2"/>
  <c r="H2410" i="2"/>
  <c r="G2418" i="2"/>
  <c r="H2418" i="2"/>
  <c r="H2427" i="2" s="1"/>
  <c r="G2419" i="2"/>
  <c r="G2421" i="2" s="1"/>
  <c r="H2419" i="2"/>
  <c r="G2420" i="2"/>
  <c r="H2421" i="2"/>
  <c r="G2422" i="2"/>
  <c r="H2422" i="2"/>
  <c r="G2423" i="2"/>
  <c r="H2423" i="2"/>
  <c r="G2424" i="2"/>
  <c r="H2424" i="2"/>
  <c r="G2434" i="2"/>
  <c r="H2434" i="2"/>
  <c r="G2435" i="2"/>
  <c r="H2435" i="2"/>
  <c r="G2436" i="2"/>
  <c r="H2436" i="2"/>
  <c r="G2437" i="2"/>
  <c r="H2437" i="2"/>
  <c r="H2439" i="2" s="1"/>
  <c r="G2438" i="2"/>
  <c r="G2440" i="2"/>
  <c r="H2440" i="2"/>
  <c r="G2441" i="2"/>
  <c r="H2441" i="2"/>
  <c r="G2442" i="2"/>
  <c r="H2442" i="2"/>
  <c r="G2443" i="2"/>
  <c r="H2443" i="2"/>
  <c r="G2444" i="2"/>
  <c r="H2444" i="2"/>
  <c r="G2445" i="2"/>
  <c r="H2445" i="2"/>
  <c r="G2446" i="2"/>
  <c r="H2446" i="2"/>
  <c r="G2447" i="2"/>
  <c r="H2447" i="2"/>
  <c r="G2448" i="2"/>
  <c r="H2448" i="2"/>
  <c r="G2449" i="2"/>
  <c r="H2449" i="2"/>
  <c r="G2450" i="2"/>
  <c r="H2450" i="2"/>
  <c r="G2451" i="2"/>
  <c r="H2451" i="2"/>
  <c r="G2452" i="2"/>
  <c r="H2452" i="2"/>
  <c r="G2453" i="2"/>
  <c r="H2453" i="2"/>
  <c r="G2454" i="2"/>
  <c r="H2454" i="2"/>
  <c r="G2455" i="2"/>
  <c r="H2455" i="2"/>
  <c r="G2469" i="2"/>
  <c r="H2469" i="2"/>
  <c r="H2471" i="2" s="1"/>
  <c r="G2471" i="2"/>
  <c r="G2475" i="2"/>
  <c r="H2475" i="2"/>
  <c r="H2477" i="2" s="1"/>
  <c r="G2476" i="2"/>
  <c r="G2477" i="2"/>
  <c r="G2478" i="2"/>
  <c r="H2478" i="2"/>
  <c r="G2488" i="2"/>
  <c r="H2488" i="2"/>
  <c r="G2489" i="2"/>
  <c r="H2489" i="2"/>
  <c r="G2490" i="2"/>
  <c r="H2490" i="2"/>
  <c r="G2491" i="2"/>
  <c r="H2491" i="2"/>
  <c r="G2492" i="2"/>
  <c r="H2492" i="2"/>
  <c r="G2493" i="2"/>
  <c r="H2493" i="2"/>
  <c r="G2494" i="2"/>
  <c r="H2494" i="2"/>
  <c r="G2495" i="2"/>
  <c r="H2495" i="2"/>
  <c r="G2498" i="2"/>
  <c r="H2498" i="2"/>
  <c r="G2499" i="2"/>
  <c r="H2499" i="2"/>
  <c r="G2500" i="2"/>
  <c r="H2500" i="2"/>
  <c r="G2501" i="2"/>
  <c r="H2501" i="2"/>
  <c r="H2504" i="2"/>
  <c r="G2506" i="2"/>
  <c r="H2506" i="2"/>
  <c r="G2512" i="2"/>
  <c r="H2512" i="2"/>
  <c r="G2516" i="2"/>
  <c r="H2516" i="2"/>
  <c r="G2517" i="2"/>
  <c r="H2517" i="2"/>
  <c r="G2518" i="2"/>
  <c r="H2518" i="2"/>
  <c r="G2519" i="2"/>
  <c r="H2519" i="2"/>
  <c r="G2520" i="2"/>
  <c r="H2520" i="2"/>
  <c r="G2521" i="2"/>
  <c r="H2521" i="2"/>
  <c r="G2533" i="2"/>
  <c r="H2533" i="2"/>
  <c r="G2538" i="2"/>
  <c r="H2538" i="2"/>
  <c r="G2539" i="2"/>
  <c r="H2539" i="2"/>
  <c r="G2540" i="2"/>
  <c r="H2540" i="2"/>
  <c r="G2541" i="2"/>
  <c r="H2541" i="2"/>
  <c r="G2542" i="2"/>
  <c r="H2542" i="2"/>
  <c r="G2543" i="2"/>
  <c r="H2543" i="2"/>
  <c r="G2544" i="2"/>
  <c r="H2544" i="2"/>
  <c r="G2545" i="2"/>
  <c r="H2545" i="2"/>
  <c r="G2546" i="2"/>
  <c r="H2546" i="2"/>
  <c r="G2548" i="2"/>
  <c r="H2548" i="2"/>
  <c r="G2549" i="2"/>
  <c r="H2549" i="2"/>
  <c r="G2550" i="2"/>
  <c r="H2550" i="2"/>
  <c r="G2551" i="2"/>
  <c r="H2551" i="2"/>
  <c r="G2552" i="2"/>
  <c r="H2552" i="2"/>
  <c r="G2553" i="2"/>
  <c r="H2553" i="2"/>
  <c r="G2554" i="2"/>
  <c r="H2554" i="2"/>
  <c r="G2555" i="2"/>
  <c r="H2555" i="2"/>
  <c r="G2556" i="2"/>
  <c r="H2556" i="2"/>
  <c r="G2557" i="2"/>
  <c r="H2557" i="2"/>
  <c r="G2558" i="2"/>
  <c r="H2558" i="2"/>
  <c r="G2559" i="2"/>
  <c r="H2559" i="2"/>
  <c r="G2560" i="2"/>
  <c r="H2560" i="2"/>
  <c r="G2573" i="2"/>
  <c r="G2574" i="2" s="1"/>
  <c r="G2576" i="2" s="1"/>
  <c r="H2573" i="2"/>
  <c r="H2574" i="2" s="1"/>
  <c r="H2576" i="2" s="1"/>
  <c r="G2581" i="2"/>
  <c r="H2581" i="2"/>
  <c r="G2586" i="2"/>
  <c r="H2586" i="2"/>
  <c r="G2587" i="2"/>
  <c r="H2587" i="2"/>
  <c r="G2588" i="2"/>
  <c r="H2588" i="2"/>
  <c r="G2589" i="2"/>
  <c r="H2589" i="2"/>
  <c r="G2590" i="2"/>
  <c r="H2590" i="2"/>
  <c r="G2591" i="2"/>
  <c r="H2591" i="2"/>
  <c r="G2592" i="2"/>
  <c r="H2592" i="2"/>
  <c r="G2593" i="2"/>
  <c r="H2593" i="2"/>
  <c r="G2594" i="2"/>
  <c r="H2594" i="2"/>
  <c r="G2596" i="2"/>
  <c r="H2596" i="2"/>
  <c r="G2598" i="2"/>
  <c r="H2598" i="2"/>
  <c r="G2599" i="2"/>
  <c r="H2599" i="2"/>
  <c r="G2611" i="2"/>
  <c r="H2611" i="2"/>
  <c r="G2615" i="2"/>
  <c r="H2615" i="2"/>
  <c r="G2616" i="2"/>
  <c r="H2616" i="2"/>
  <c r="G2617" i="2"/>
  <c r="H2617" i="2"/>
  <c r="G2618" i="2"/>
  <c r="H2618" i="2"/>
  <c r="G2619" i="2"/>
  <c r="H2619" i="2"/>
  <c r="G2621" i="2"/>
  <c r="H2621" i="2"/>
  <c r="G2622" i="2"/>
  <c r="H2622" i="2"/>
  <c r="G2623" i="2"/>
  <c r="H2623" i="2"/>
  <c r="G2624" i="2"/>
  <c r="G2626" i="2" s="1"/>
  <c r="H2624" i="2"/>
  <c r="H2626" i="2" s="1"/>
  <c r="H2631" i="2" s="1"/>
  <c r="G2628" i="2"/>
  <c r="H2628" i="2"/>
  <c r="H2632" i="2"/>
  <c r="H2635" i="2" s="1"/>
  <c r="G2641" i="2"/>
  <c r="G2643" i="2" s="1"/>
  <c r="H2641" i="2"/>
  <c r="H2643" i="2" s="1"/>
  <c r="G2649" i="2"/>
  <c r="G2650" i="2"/>
  <c r="G2654" i="2" s="1"/>
  <c r="H2650" i="2"/>
  <c r="H2654" i="2"/>
  <c r="H2655" i="2" s="1"/>
  <c r="G2655" i="2"/>
  <c r="G2664" i="2"/>
  <c r="H2664" i="2"/>
  <c r="G2671" i="2"/>
  <c r="H2671" i="2"/>
  <c r="G2675" i="2"/>
  <c r="H2675" i="2"/>
  <c r="H2677" i="2" s="1"/>
  <c r="G2677" i="2"/>
  <c r="G2678" i="2"/>
  <c r="H2678" i="2"/>
  <c r="G2679" i="2"/>
  <c r="G2681" i="2" s="1"/>
  <c r="H2679" i="2"/>
  <c r="H2681" i="2" s="1"/>
  <c r="G2682" i="2"/>
  <c r="H2682" i="2"/>
  <c r="G2683" i="2"/>
  <c r="H2683" i="2"/>
  <c r="G2684" i="2"/>
  <c r="G2686" i="2" s="1"/>
  <c r="H2684" i="2"/>
  <c r="H2686" i="2"/>
  <c r="G2687" i="2"/>
  <c r="H2687" i="2"/>
  <c r="G2688" i="2"/>
  <c r="G2690" i="2" s="1"/>
  <c r="H2688" i="2"/>
  <c r="H2690" i="2"/>
  <c r="G2691" i="2"/>
  <c r="H2691" i="2"/>
  <c r="G2692" i="2"/>
  <c r="H2692" i="2"/>
  <c r="G2693" i="2"/>
  <c r="H2693" i="2"/>
  <c r="G2694" i="2"/>
  <c r="H2694" i="2"/>
  <c r="G2695" i="2"/>
  <c r="H2695" i="2"/>
  <c r="G2696" i="2"/>
  <c r="H2696" i="2"/>
  <c r="G2697" i="2"/>
  <c r="H2697" i="2"/>
  <c r="G2699" i="2"/>
  <c r="H2699" i="2"/>
  <c r="G2700" i="2"/>
  <c r="G2702" i="2"/>
  <c r="H2702" i="2"/>
  <c r="G2703" i="2"/>
  <c r="H2703" i="2"/>
  <c r="G2707" i="2"/>
  <c r="H2707" i="2"/>
  <c r="G2708" i="2"/>
  <c r="H2709" i="2"/>
  <c r="G2710" i="2"/>
  <c r="H2710" i="2"/>
  <c r="G2711" i="2"/>
  <c r="H2711" i="2"/>
  <c r="G2712" i="2"/>
  <c r="G2714" i="2" s="1"/>
  <c r="H2712" i="2"/>
  <c r="H2714" i="2"/>
  <c r="G2715" i="2"/>
  <c r="H2715" i="2"/>
  <c r="G2716" i="2"/>
  <c r="H2716" i="2"/>
  <c r="G2717" i="2"/>
  <c r="H2717" i="2"/>
  <c r="G2718" i="2"/>
  <c r="H2718" i="2"/>
  <c r="G2720" i="2"/>
  <c r="G2727" i="2"/>
  <c r="H2727" i="2"/>
  <c r="G2733" i="2"/>
  <c r="H2733" i="2"/>
  <c r="G2739" i="2"/>
  <c r="G2740" i="2" s="1"/>
  <c r="H2739" i="2"/>
  <c r="H2740" i="2" s="1"/>
  <c r="G2745" i="2"/>
  <c r="H2745" i="2"/>
  <c r="G2750" i="2"/>
  <c r="G2751" i="2" s="1"/>
  <c r="G2772" i="2" s="1"/>
  <c r="G2773" i="2" s="1"/>
  <c r="H2751" i="2"/>
  <c r="G2752" i="2"/>
  <c r="H2752" i="2"/>
  <c r="G2753" i="2"/>
  <c r="H2753" i="2"/>
  <c r="G2754" i="2"/>
  <c r="H2754" i="2"/>
  <c r="G2755" i="2"/>
  <c r="H2755" i="2"/>
  <c r="G2756" i="2"/>
  <c r="H2756" i="2"/>
  <c r="G2757" i="2"/>
  <c r="H2757" i="2"/>
  <c r="G2761" i="2"/>
  <c r="H2761" i="2"/>
  <c r="G2762" i="2"/>
  <c r="H2762" i="2"/>
  <c r="G2763" i="2"/>
  <c r="H2763" i="2"/>
  <c r="G2764" i="2"/>
  <c r="H2764" i="2"/>
  <c r="G2765" i="2"/>
  <c r="H2765" i="2"/>
  <c r="G2766" i="2"/>
  <c r="H2766" i="2"/>
  <c r="G2767" i="2"/>
  <c r="H2767" i="2"/>
  <c r="G2777" i="2"/>
  <c r="H2777" i="2"/>
  <c r="G2778" i="2"/>
  <c r="H2778" i="2"/>
  <c r="G2779" i="2"/>
  <c r="H2779" i="2"/>
  <c r="G2780" i="2"/>
  <c r="H2780" i="2"/>
  <c r="G2781" i="2"/>
  <c r="H2781" i="2"/>
  <c r="G2782" i="2"/>
  <c r="H2782" i="2"/>
  <c r="G2783" i="2"/>
  <c r="H2783" i="2"/>
  <c r="G2784" i="2"/>
  <c r="H2784" i="2"/>
  <c r="G2786" i="2"/>
  <c r="H2786" i="2"/>
  <c r="G2787" i="2"/>
  <c r="H2787" i="2"/>
  <c r="G2788" i="2"/>
  <c r="H2788" i="2"/>
  <c r="G2789" i="2"/>
  <c r="H2789" i="2"/>
  <c r="G2790" i="2"/>
  <c r="H2790" i="2"/>
  <c r="G2791" i="2"/>
  <c r="H2791" i="2"/>
  <c r="G2803" i="2"/>
  <c r="H2803" i="2"/>
  <c r="G2808" i="2"/>
  <c r="H2808" i="2"/>
  <c r="G2817" i="2"/>
  <c r="H2817" i="2"/>
  <c r="G2818" i="2"/>
  <c r="H2818" i="2"/>
  <c r="G2823" i="2"/>
  <c r="H2823" i="2"/>
  <c r="G2832" i="2"/>
  <c r="H2832" i="2"/>
  <c r="G2833" i="2"/>
  <c r="G2834" i="2"/>
  <c r="G2841" i="2"/>
  <c r="G2845" i="2"/>
  <c r="H2845" i="2"/>
  <c r="G2846" i="2"/>
  <c r="H2846" i="2"/>
  <c r="G2847" i="2"/>
  <c r="H2847" i="2"/>
  <c r="G2849" i="2"/>
  <c r="G2866" i="2" s="1"/>
  <c r="G2867" i="2" s="1"/>
  <c r="H2849" i="2"/>
  <c r="G2850" i="2"/>
  <c r="H2850" i="2"/>
  <c r="G2851" i="2"/>
  <c r="H2851" i="2"/>
  <c r="G2852" i="2"/>
  <c r="H2852" i="2"/>
  <c r="G2853" i="2"/>
  <c r="H2853" i="2"/>
  <c r="G2855" i="2"/>
  <c r="H2855" i="2"/>
  <c r="G2856" i="2"/>
  <c r="H2856" i="2"/>
  <c r="G2858" i="2"/>
  <c r="H2858" i="2"/>
  <c r="G2859" i="2"/>
  <c r="H2859" i="2"/>
  <c r="G2862" i="2"/>
  <c r="H2862" i="2"/>
  <c r="G2863" i="2"/>
  <c r="H2863" i="2"/>
  <c r="H2864" i="2"/>
  <c r="H2868" i="2"/>
  <c r="G2869" i="2"/>
  <c r="G2873" i="2"/>
  <c r="H2873" i="2"/>
  <c r="G2874" i="2"/>
  <c r="G2884" i="2" s="1"/>
  <c r="H2874" i="2"/>
  <c r="G2875" i="2"/>
  <c r="H2875" i="2"/>
  <c r="G2876" i="2"/>
  <c r="H2876" i="2"/>
  <c r="G2877" i="2"/>
  <c r="H2877" i="2"/>
  <c r="G2878" i="2"/>
  <c r="H2878" i="2"/>
  <c r="G2880" i="2"/>
  <c r="H2880" i="2"/>
  <c r="G2881" i="2"/>
  <c r="H2881" i="2"/>
  <c r="G2893" i="2"/>
  <c r="H2893" i="2"/>
  <c r="G2897" i="2"/>
  <c r="H2897" i="2"/>
  <c r="G2898" i="2"/>
  <c r="H2898" i="2"/>
  <c r="H2916" i="2" s="1"/>
  <c r="G2899" i="2"/>
  <c r="H2899" i="2"/>
  <c r="G2900" i="2"/>
  <c r="H2900" i="2"/>
  <c r="G2901" i="2"/>
  <c r="H2901" i="2"/>
  <c r="G2902" i="2"/>
  <c r="H2902" i="2"/>
  <c r="G2903" i="2"/>
  <c r="H2903" i="2"/>
  <c r="G2904" i="2"/>
  <c r="H2904" i="2"/>
  <c r="G2905" i="2"/>
  <c r="H2905" i="2"/>
  <c r="G2906" i="2"/>
  <c r="H2906" i="2"/>
  <c r="G2907" i="2"/>
  <c r="H2907" i="2"/>
  <c r="G2908" i="2"/>
  <c r="H2908" i="2"/>
  <c r="G2909" i="2"/>
  <c r="H2909" i="2"/>
  <c r="G2910" i="2"/>
  <c r="H2910" i="2"/>
  <c r="G2911" i="2"/>
  <c r="H2911" i="2"/>
  <c r="G2912" i="2"/>
  <c r="H2912" i="2"/>
  <c r="G2913" i="2"/>
  <c r="H2913" i="2"/>
  <c r="G2924" i="2"/>
  <c r="H2924" i="2"/>
  <c r="G2929" i="2"/>
  <c r="H2929" i="2"/>
  <c r="G2945" i="2"/>
  <c r="H2945" i="2"/>
  <c r="G2946" i="2"/>
  <c r="G2948" i="2" s="1"/>
  <c r="H2946" i="2"/>
  <c r="H2948" i="2" s="1"/>
  <c r="G2952" i="2"/>
  <c r="H2952" i="2"/>
  <c r="G2953" i="2"/>
  <c r="H2953" i="2"/>
  <c r="G2954" i="2"/>
  <c r="H2954" i="2"/>
  <c r="G2955" i="2"/>
  <c r="H2955" i="2"/>
  <c r="G2956" i="2"/>
  <c r="H2956" i="2"/>
  <c r="G2957" i="2"/>
  <c r="H2957" i="2"/>
  <c r="G2958" i="2"/>
  <c r="G2959" i="2"/>
  <c r="H2959" i="2"/>
  <c r="G2974" i="2"/>
  <c r="H2974" i="2"/>
  <c r="G2977" i="2"/>
  <c r="H2977" i="2"/>
  <c r="G3002" i="2"/>
  <c r="H3002" i="2"/>
  <c r="G3003" i="2"/>
  <c r="H3003" i="2"/>
  <c r="H3004" i="2" s="1"/>
  <c r="G3004" i="2"/>
  <c r="G3008" i="2"/>
  <c r="H3008" i="2"/>
  <c r="H3010" i="2" s="1"/>
  <c r="H3011" i="2"/>
  <c r="G3012" i="2"/>
  <c r="H3012" i="2"/>
  <c r="G3017" i="2"/>
  <c r="H3017" i="2"/>
  <c r="G3018" i="2"/>
  <c r="H3018" i="2"/>
  <c r="G3022" i="2"/>
  <c r="H3022" i="2"/>
  <c r="H3024" i="2" s="1"/>
  <c r="G3023" i="2"/>
  <c r="G3025" i="2"/>
  <c r="H3025" i="2"/>
  <c r="G3026" i="2"/>
  <c r="H3026" i="2"/>
  <c r="G3042" i="2"/>
  <c r="H3042" i="2"/>
  <c r="G3053" i="2"/>
  <c r="H3053" i="2"/>
  <c r="H3054" i="2" s="1"/>
  <c r="G3054" i="2"/>
  <c r="G3059" i="2"/>
  <c r="H3059" i="2"/>
  <c r="G3063" i="2"/>
  <c r="H3063" i="2"/>
  <c r="G3064" i="2"/>
  <c r="H3064" i="2"/>
  <c r="G3065" i="2"/>
  <c r="H3065" i="2"/>
  <c r="G3066" i="2"/>
  <c r="H3066" i="2"/>
  <c r="G3067" i="2"/>
  <c r="G3068" i="2" s="1"/>
  <c r="H3068" i="2"/>
  <c r="G3069" i="2"/>
  <c r="H3069" i="2"/>
  <c r="G3070" i="2"/>
  <c r="H3070" i="2"/>
  <c r="G3071" i="2"/>
  <c r="H3071" i="2"/>
  <c r="G3076" i="2"/>
  <c r="H3076" i="2"/>
  <c r="G3081" i="2"/>
  <c r="G3087" i="2" s="1"/>
  <c r="H3081" i="2"/>
  <c r="G3083" i="2"/>
  <c r="H3083" i="2"/>
  <c r="G3084" i="2"/>
  <c r="H3084" i="2"/>
  <c r="H3087" i="2"/>
  <c r="H3088" i="2" s="1"/>
  <c r="H3090" i="2" s="1"/>
  <c r="G3094" i="2"/>
  <c r="H3094" i="2"/>
  <c r="G3095" i="2"/>
  <c r="H3095" i="2"/>
  <c r="G3101" i="2"/>
  <c r="H3101" i="2"/>
  <c r="G3105" i="2"/>
  <c r="G3106" i="2" s="1"/>
  <c r="H3105" i="2"/>
  <c r="H3106" i="2" s="1"/>
  <c r="G3116" i="2"/>
  <c r="H3116" i="2"/>
  <c r="G3120" i="2"/>
  <c r="H3120" i="2"/>
  <c r="G3122" i="2"/>
  <c r="H3122" i="2"/>
  <c r="G3123" i="2"/>
  <c r="H3123" i="2"/>
  <c r="G3124" i="2"/>
  <c r="H3124" i="2"/>
  <c r="G3125" i="2"/>
  <c r="H3125" i="2"/>
  <c r="G3126" i="2"/>
  <c r="H3126" i="2"/>
  <c r="G3127" i="2"/>
  <c r="H3127" i="2"/>
  <c r="G3128" i="2"/>
  <c r="H3128" i="2"/>
  <c r="G3130" i="2"/>
  <c r="H3130" i="2"/>
  <c r="G3131" i="2"/>
  <c r="H3131" i="2"/>
  <c r="G3132" i="2"/>
  <c r="H3132" i="2"/>
  <c r="G3133" i="2"/>
  <c r="H3133" i="2"/>
  <c r="G3135" i="2"/>
  <c r="H3135" i="2"/>
  <c r="G3136" i="2"/>
  <c r="H3136" i="2"/>
  <c r="G3137" i="2"/>
  <c r="H3137" i="2"/>
  <c r="G3138" i="2"/>
  <c r="H3138" i="2"/>
  <c r="G3139" i="2"/>
  <c r="H3139" i="2"/>
  <c r="G3140" i="2"/>
  <c r="H3140" i="2"/>
  <c r="G3141" i="2"/>
  <c r="H3141" i="2"/>
  <c r="G3142" i="2"/>
  <c r="H3142" i="2"/>
  <c r="G3143" i="2"/>
  <c r="H3143" i="2"/>
  <c r="G3144" i="2"/>
  <c r="H3144" i="2"/>
  <c r="G3149" i="2"/>
  <c r="H3149" i="2"/>
  <c r="G3150" i="2"/>
  <c r="H3150" i="2"/>
  <c r="G3151" i="2"/>
  <c r="H3151" i="2"/>
  <c r="G3152" i="2"/>
  <c r="H3152" i="2"/>
  <c r="G3153" i="2"/>
  <c r="H3153" i="2"/>
  <c r="G3158" i="2"/>
  <c r="H3158" i="2"/>
  <c r="G3163" i="2"/>
  <c r="H3163" i="2"/>
  <c r="G3164" i="2"/>
  <c r="H3164" i="2"/>
  <c r="G3169" i="2"/>
  <c r="H3169" i="2"/>
  <c r="G3173" i="2"/>
  <c r="H3173" i="2"/>
  <c r="G3174" i="2"/>
  <c r="H3174" i="2"/>
  <c r="G3175" i="2"/>
  <c r="H3175" i="2"/>
  <c r="H3180" i="2" s="1"/>
  <c r="G3176" i="2"/>
  <c r="H3176" i="2"/>
  <c r="G3177" i="2"/>
  <c r="H3177" i="2"/>
  <c r="H3178" i="2"/>
  <c r="H3181" i="2"/>
  <c r="H3184" i="2" s="1"/>
  <c r="G3188" i="2"/>
  <c r="H3188" i="2"/>
  <c r="G3189" i="2"/>
  <c r="G3193" i="2" s="1"/>
  <c r="H3189" i="2"/>
  <c r="G3190" i="2"/>
  <c r="H3190" i="2"/>
  <c r="H3191" i="2"/>
  <c r="H3193" i="2" s="1"/>
  <c r="H3192" i="2"/>
  <c r="G3194" i="2"/>
  <c r="G3197" i="2" s="1"/>
  <c r="H3195" i="2"/>
  <c r="G3207" i="2"/>
  <c r="H3207" i="2"/>
  <c r="G3208" i="2"/>
  <c r="G3209" i="2"/>
  <c r="H3209" i="2"/>
  <c r="G3212" i="2"/>
  <c r="H3212" i="2"/>
  <c r="G3213" i="2"/>
  <c r="H3213" i="2"/>
  <c r="G3214" i="2"/>
  <c r="H3214" i="2"/>
  <c r="G3215" i="2"/>
  <c r="G3217" i="2" s="1"/>
  <c r="G3225" i="2" s="1"/>
  <c r="H3215" i="2"/>
  <c r="H3217" i="2" s="1"/>
  <c r="G3218" i="2"/>
  <c r="G3220" i="2" s="1"/>
  <c r="H3218" i="2"/>
  <c r="H3220" i="2"/>
  <c r="H3222" i="2"/>
  <c r="H3225" i="2" s="1"/>
  <c r="H3223" i="2"/>
  <c r="H3229" i="2"/>
  <c r="H3230" i="2"/>
  <c r="H3231" i="2"/>
  <c r="G3236" i="2"/>
  <c r="G3238" i="2" s="1"/>
  <c r="G3241" i="2" s="1"/>
  <c r="G3242" i="2" s="1"/>
  <c r="H3236" i="2"/>
  <c r="H3238" i="2" s="1"/>
  <c r="G3237" i="2"/>
  <c r="G3239" i="2"/>
  <c r="H3239" i="2"/>
  <c r="H3243" i="2"/>
  <c r="G3253" i="2"/>
  <c r="H3253" i="2"/>
  <c r="G3255" i="2"/>
  <c r="H3255" i="2"/>
  <c r="G3256" i="2"/>
  <c r="G3257" i="2"/>
  <c r="H3257" i="2"/>
  <c r="G3258" i="2"/>
  <c r="H3258" i="2"/>
  <c r="G3259" i="2"/>
  <c r="H3259" i="2"/>
  <c r="G3262" i="2"/>
  <c r="H3262" i="2"/>
  <c r="G3263" i="2"/>
  <c r="G3272" i="2"/>
  <c r="H3272" i="2"/>
  <c r="G3276" i="2"/>
  <c r="H3276" i="2"/>
  <c r="G3286" i="2"/>
  <c r="H3286" i="2"/>
  <c r="G3289" i="2"/>
  <c r="H3289" i="2"/>
  <c r="G3290" i="2"/>
  <c r="G3292" i="2" s="1"/>
  <c r="G3296" i="2"/>
  <c r="H3296" i="2"/>
  <c r="G3297" i="2"/>
  <c r="H3297" i="2"/>
  <c r="G3298" i="2"/>
  <c r="G3308" i="2"/>
  <c r="H3308" i="2"/>
  <c r="G3313" i="2"/>
  <c r="H3313" i="2"/>
  <c r="G3314" i="2"/>
  <c r="H3314" i="2"/>
  <c r="G3315" i="2"/>
  <c r="H3315" i="2"/>
  <c r="G3316" i="2"/>
  <c r="H3316" i="2"/>
  <c r="G3328" i="2"/>
  <c r="G3332" i="2" s="1"/>
  <c r="G3334" i="2" s="1"/>
  <c r="H3328" i="2"/>
  <c r="H3332" i="2" s="1"/>
  <c r="G3329" i="2"/>
  <c r="G3330" i="2"/>
  <c r="G3331" i="2"/>
  <c r="H3334" i="2"/>
  <c r="H3335" i="2" s="1"/>
  <c r="H3338" i="2" s="1"/>
  <c r="G3342" i="2"/>
  <c r="H3342" i="2"/>
  <c r="H3344" i="2" s="1"/>
  <c r="G3343" i="2"/>
  <c r="G3344" i="2"/>
  <c r="G3346" i="2"/>
  <c r="G3354" i="2"/>
  <c r="G3356" i="2" s="1"/>
  <c r="H3354" i="2"/>
  <c r="H3356" i="2" s="1"/>
  <c r="H3358" i="2" s="1"/>
  <c r="G3355" i="2"/>
  <c r="G3366" i="2"/>
  <c r="H3366" i="2"/>
  <c r="G3367" i="2"/>
  <c r="G3368" i="2"/>
  <c r="G3369" i="2"/>
  <c r="G3370" i="2"/>
  <c r="H3370" i="2"/>
  <c r="H3375" i="2" s="1"/>
  <c r="G3371" i="2"/>
  <c r="G3373" i="2" s="1"/>
  <c r="H3371" i="2"/>
  <c r="G3372" i="2"/>
  <c r="H3373" i="2"/>
  <c r="G3383" i="2"/>
  <c r="H3383" i="2"/>
  <c r="G3389" i="2"/>
  <c r="G3390" i="2" s="1"/>
  <c r="G3393" i="2" s="1"/>
  <c r="G3392" i="2"/>
  <c r="H3392" i="2"/>
  <c r="G3397" i="2"/>
  <c r="G3401" i="2" s="1"/>
  <c r="G3404" i="2" s="1"/>
  <c r="G3407" i="2" s="1"/>
  <c r="H3397" i="2"/>
  <c r="H3401" i="2" s="1"/>
  <c r="G3398" i="2"/>
  <c r="G3399" i="2"/>
  <c r="G3400" i="2"/>
  <c r="G3403" i="2"/>
  <c r="H3403" i="2"/>
  <c r="H3404" i="2"/>
  <c r="H3407" i="2" s="1"/>
  <c r="G3411" i="2"/>
  <c r="H3411" i="2"/>
  <c r="G3412" i="2"/>
  <c r="G3413" i="2"/>
  <c r="G3416" i="2" s="1"/>
  <c r="G3419" i="2" s="1"/>
  <c r="H3413" i="2"/>
  <c r="G3415" i="2"/>
  <c r="H3415" i="2"/>
  <c r="G3423" i="2"/>
  <c r="H3423" i="2"/>
  <c r="G3426" i="2"/>
  <c r="G3429" i="2" s="1"/>
  <c r="H3426" i="2"/>
  <c r="H3429" i="2" s="1"/>
  <c r="G3433" i="2"/>
  <c r="H3433" i="2"/>
  <c r="G3437" i="2"/>
  <c r="G3438" i="2" s="1"/>
  <c r="G3441" i="2" s="1"/>
  <c r="G3445" i="2"/>
  <c r="H3445" i="2"/>
  <c r="H3449" i="2" s="1"/>
  <c r="G3446" i="2"/>
  <c r="G3449" i="2" s="1"/>
  <c r="G3447" i="2"/>
  <c r="G3457" i="2"/>
  <c r="H3457" i="2"/>
  <c r="G3458" i="2"/>
  <c r="G3459" i="2"/>
  <c r="G3460" i="2"/>
  <c r="H3461" i="2"/>
  <c r="H3467" i="2" s="1"/>
  <c r="G3462" i="2"/>
  <c r="H3462" i="2"/>
  <c r="H3464" i="2" s="1"/>
  <c r="G3463" i="2"/>
  <c r="G3464" i="2"/>
  <c r="G3475" i="2"/>
  <c r="G3479" i="2" s="1"/>
  <c r="H3475" i="2"/>
  <c r="H3479" i="2"/>
  <c r="G3480" i="2"/>
  <c r="H3480" i="2"/>
  <c r="G3483" i="2"/>
  <c r="H3483" i="2"/>
  <c r="G3489" i="2"/>
  <c r="G3490" i="2" s="1"/>
  <c r="G3492" i="2" s="1"/>
  <c r="H3489" i="2"/>
  <c r="H3490" i="2"/>
  <c r="H3492" i="2"/>
  <c r="G3502" i="2"/>
  <c r="H3502" i="2"/>
  <c r="G3507" i="2"/>
  <c r="H3507" i="2"/>
  <c r="G3516" i="2"/>
  <c r="H3516" i="2"/>
  <c r="G3517" i="2"/>
  <c r="H3517" i="2"/>
  <c r="H3539" i="2" s="1"/>
  <c r="G3518" i="2"/>
  <c r="H3518" i="2"/>
  <c r="G3520" i="2"/>
  <c r="G3539" i="2" s="1"/>
  <c r="G3540" i="2" s="1"/>
  <c r="G3549" i="2" s="1"/>
  <c r="H3520" i="2"/>
  <c r="G3521" i="2"/>
  <c r="H3521" i="2"/>
  <c r="G3522" i="2"/>
  <c r="H3522" i="2"/>
  <c r="G3523" i="2"/>
  <c r="H3523" i="2"/>
  <c r="G3524" i="2"/>
  <c r="H3524" i="2"/>
  <c r="G3525" i="2"/>
  <c r="G3526" i="2"/>
  <c r="H3526" i="2"/>
  <c r="G3527" i="2"/>
  <c r="H3527" i="2"/>
  <c r="G3528" i="2"/>
  <c r="H3528" i="2"/>
  <c r="G3529" i="2"/>
  <c r="H3529" i="2"/>
  <c r="G3530" i="2"/>
  <c r="H3530" i="2"/>
  <c r="G3531" i="2"/>
  <c r="H3531" i="2"/>
  <c r="G3532" i="2"/>
  <c r="G3533" i="2"/>
  <c r="H3533" i="2"/>
  <c r="G3534" i="2"/>
  <c r="H3534" i="2"/>
  <c r="G3535" i="2"/>
  <c r="H3535" i="2"/>
  <c r="G3553" i="2"/>
  <c r="H3553" i="2"/>
  <c r="G3554" i="2"/>
  <c r="H3554" i="2"/>
  <c r="G3555" i="2"/>
  <c r="H3555" i="2"/>
  <c r="G3556" i="2"/>
  <c r="H3556" i="2"/>
  <c r="G3557" i="2"/>
  <c r="H3557" i="2"/>
  <c r="G3558" i="2"/>
  <c r="H3558" i="2"/>
  <c r="G3559" i="2"/>
  <c r="H3559" i="2"/>
  <c r="G3560" i="2"/>
  <c r="H3560" i="2"/>
  <c r="G3561" i="2"/>
  <c r="H3561" i="2"/>
  <c r="G3562" i="2"/>
  <c r="H3562" i="2"/>
  <c r="H3564" i="2" s="1"/>
  <c r="G3563" i="2"/>
  <c r="G3567" i="2"/>
  <c r="H3567" i="2"/>
  <c r="G3568" i="2"/>
  <c r="H3568" i="2"/>
  <c r="G3578" i="2"/>
  <c r="G3580" i="2" s="1"/>
  <c r="H3578" i="2"/>
  <c r="H3580" i="2" s="1"/>
  <c r="G3579" i="2"/>
  <c r="G3592" i="2"/>
  <c r="G3594" i="2" s="1"/>
  <c r="G3601" i="2" s="1"/>
  <c r="H3592" i="2"/>
  <c r="G3593" i="2"/>
  <c r="H3594" i="2"/>
  <c r="G3595" i="2"/>
  <c r="H3595" i="2"/>
  <c r="G3596" i="2"/>
  <c r="H3596" i="2"/>
  <c r="G3597" i="2"/>
  <c r="H3597" i="2"/>
  <c r="G3598" i="2"/>
  <c r="H3598" i="2"/>
  <c r="G3612" i="2"/>
  <c r="H3612" i="2"/>
  <c r="G3617" i="2"/>
  <c r="H3617" i="2"/>
  <c r="G3621" i="2"/>
  <c r="H3621" i="2"/>
  <c r="H3622" i="2" s="1"/>
  <c r="H3623" i="2"/>
  <c r="H3624" i="2"/>
  <c r="G3630" i="2"/>
  <c r="H3630" i="2"/>
  <c r="H2657" i="2" l="1"/>
  <c r="G2657" i="2" s="1"/>
  <c r="H2917" i="2"/>
  <c r="H2919" i="2" s="1"/>
  <c r="G2171" i="2"/>
  <c r="G2173" i="2" s="1"/>
  <c r="H2378" i="2"/>
  <c r="H2380" i="2" s="1"/>
  <c r="H2725" i="2"/>
  <c r="H2726" i="2" s="1"/>
  <c r="H2728" i="2" s="1"/>
  <c r="G1611" i="2"/>
  <c r="G1614" i="2" s="1"/>
  <c r="G3582" i="2"/>
  <c r="G3583" i="2" s="1"/>
  <c r="G3588" i="2" s="1"/>
  <c r="H3601" i="2"/>
  <c r="H3602" i="2" s="1"/>
  <c r="H3607" i="2" s="1"/>
  <c r="G3226" i="2"/>
  <c r="G3232" i="2" s="1"/>
  <c r="G2978" i="2"/>
  <c r="G2979" i="2"/>
  <c r="G2981" i="2" s="1"/>
  <c r="H3468" i="2"/>
  <c r="H3471" i="2" s="1"/>
  <c r="G3264" i="2"/>
  <c r="G3267" i="2" s="1"/>
  <c r="H3279" i="2"/>
  <c r="H3280" i="2" s="1"/>
  <c r="H3282" i="2" s="1"/>
  <c r="H3194" i="2"/>
  <c r="H3197" i="2" s="1"/>
  <c r="H2833" i="2"/>
  <c r="H2834" i="2"/>
  <c r="H2841" i="2" s="1"/>
  <c r="G2603" i="2"/>
  <c r="G2604" i="2" s="1"/>
  <c r="G2606" i="2" s="1"/>
  <c r="G2504" i="2"/>
  <c r="G2505" i="2" s="1"/>
  <c r="G2507" i="2" s="1"/>
  <c r="G2412" i="2"/>
  <c r="G2413" i="2" s="1"/>
  <c r="G2414" i="2" s="1"/>
  <c r="H2109" i="2"/>
  <c r="G2109" i="2" s="1"/>
  <c r="H2110" i="2"/>
  <c r="G2110" i="2" s="1"/>
  <c r="H1086" i="2"/>
  <c r="H1087" i="2"/>
  <c r="H1089" i="2" s="1"/>
  <c r="G298" i="2"/>
  <c r="G3358" i="2"/>
  <c r="G3359" i="2"/>
  <c r="G3362" i="2" s="1"/>
  <c r="G3279" i="2"/>
  <c r="G3280" i="2" s="1"/>
  <c r="G3282" i="2" s="1"/>
  <c r="H3263" i="2"/>
  <c r="H3264" i="2" s="1"/>
  <c r="H3267" i="2" s="1"/>
  <c r="H2604" i="2"/>
  <c r="H2606" i="2" s="1"/>
  <c r="H2525" i="2"/>
  <c r="H2527" i="2" s="1"/>
  <c r="G2111" i="2"/>
  <c r="H707" i="2"/>
  <c r="H708" i="2" s="1"/>
  <c r="H706" i="2"/>
  <c r="H623" i="2"/>
  <c r="H624" i="2"/>
  <c r="H625" i="2" s="1"/>
  <c r="H364" i="2"/>
  <c r="H365" i="2"/>
  <c r="H367" i="2" s="1"/>
  <c r="H79" i="2"/>
  <c r="H81" i="2" s="1"/>
  <c r="H3582" i="2"/>
  <c r="H3583" i="2"/>
  <c r="H3588" i="2" s="1"/>
  <c r="H3447" i="2"/>
  <c r="H3450" i="2" s="1"/>
  <c r="H3453" i="2" s="1"/>
  <c r="H3416" i="2"/>
  <c r="H3419" i="2" s="1"/>
  <c r="G3335" i="2"/>
  <c r="G3338" i="2" s="1"/>
  <c r="H3226" i="2"/>
  <c r="H3232" i="2" s="1"/>
  <c r="G3180" i="2"/>
  <c r="G3181" i="2" s="1"/>
  <c r="G3184" i="2" s="1"/>
  <c r="G3088" i="2"/>
  <c r="G3090" i="2" s="1"/>
  <c r="H3074" i="2"/>
  <c r="H3075" i="2" s="1"/>
  <c r="H3077" i="2" s="1"/>
  <c r="H2979" i="2"/>
  <c r="H2981" i="2" s="1"/>
  <c r="G2659" i="2"/>
  <c r="H2603" i="2"/>
  <c r="G2427" i="2"/>
  <c r="G2428" i="2"/>
  <c r="G2430" i="2" s="1"/>
  <c r="H834" i="2"/>
  <c r="H835" i="2"/>
  <c r="H837" i="2" s="1"/>
  <c r="G137" i="2"/>
  <c r="H78" i="2"/>
  <c r="G2300" i="2"/>
  <c r="G2301" i="2" s="1"/>
  <c r="G2303" i="2" s="1"/>
  <c r="G1964" i="2"/>
  <c r="G1965" i="2"/>
  <c r="G1967" i="2" s="1"/>
  <c r="H1772" i="2"/>
  <c r="H1773" i="2" s="1"/>
  <c r="H1775" i="2" s="1"/>
  <c r="H1675" i="2"/>
  <c r="H1676" i="2" s="1"/>
  <c r="H1678" i="2" s="1"/>
  <c r="H1316" i="2"/>
  <c r="H1317" i="2"/>
  <c r="H1323" i="2" s="1"/>
  <c r="H1112" i="2"/>
  <c r="H1114" i="2" s="1"/>
  <c r="G1086" i="2"/>
  <c r="G1087" i="2" s="1"/>
  <c r="G1089" i="2" s="1"/>
  <c r="G916" i="2"/>
  <c r="G917" i="2" s="1"/>
  <c r="G919" i="2" s="1"/>
  <c r="H898" i="2"/>
  <c r="H899" i="2"/>
  <c r="H902" i="2" s="1"/>
  <c r="G875" i="2"/>
  <c r="G877" i="2" s="1"/>
  <c r="H718" i="2"/>
  <c r="H719" i="2"/>
  <c r="H720" i="2" s="1"/>
  <c r="H377" i="2"/>
  <c r="H379" i="2" s="1"/>
  <c r="H3321" i="2"/>
  <c r="H3324" i="2" s="1"/>
  <c r="H2328" i="2"/>
  <c r="H2329" i="2"/>
  <c r="H2331" i="2" s="1"/>
  <c r="G2313" i="2"/>
  <c r="G2314" i="2"/>
  <c r="G2316" i="2" s="1"/>
  <c r="H2300" i="2"/>
  <c r="H2301" i="2" s="1"/>
  <c r="H2303" i="2" s="1"/>
  <c r="G2258" i="2"/>
  <c r="G2209" i="2"/>
  <c r="G2210" i="2" s="1"/>
  <c r="G2212" i="2" s="1"/>
  <c r="H1790" i="2"/>
  <c r="H1791" i="2"/>
  <c r="H1794" i="2" s="1"/>
  <c r="G1772" i="2"/>
  <c r="G1773" i="2"/>
  <c r="G1775" i="2" s="1"/>
  <c r="H1633" i="2"/>
  <c r="H1634" i="2" s="1"/>
  <c r="H1636" i="2" s="1"/>
  <c r="H1135" i="2"/>
  <c r="H1136" i="2" s="1"/>
  <c r="H1111" i="2"/>
  <c r="H874" i="2"/>
  <c r="G767" i="2"/>
  <c r="G768" i="2" s="1"/>
  <c r="G772" i="2" s="1"/>
  <c r="G479" i="2"/>
  <c r="G480" i="2" s="1"/>
  <c r="G482" i="2" s="1"/>
  <c r="G377" i="2"/>
  <c r="G379" i="2" s="1"/>
  <c r="G148" i="2"/>
  <c r="G150" i="2" s="1"/>
  <c r="G146" i="2"/>
  <c r="G147" i="2"/>
  <c r="G138" i="2"/>
  <c r="G140" i="2" s="1"/>
  <c r="G3450" i="2"/>
  <c r="G3453" i="2" s="1"/>
  <c r="H2231" i="2"/>
  <c r="H2232" i="2"/>
  <c r="H2234" i="2" s="1"/>
  <c r="G3622" i="2"/>
  <c r="G3623" i="2"/>
  <c r="G3624" i="2" s="1"/>
  <c r="H3389" i="2"/>
  <c r="H3390" i="2"/>
  <c r="H3393" i="2" s="1"/>
  <c r="G3320" i="2"/>
  <c r="H3156" i="2"/>
  <c r="H3157" i="2" s="1"/>
  <c r="H3159" i="2" s="1"/>
  <c r="G3074" i="2"/>
  <c r="G3075" i="2"/>
  <c r="G3077" i="2" s="1"/>
  <c r="G2885" i="2"/>
  <c r="G2887" i="2" s="1"/>
  <c r="G2562" i="2"/>
  <c r="G2565" i="2" s="1"/>
  <c r="G2567" i="2" s="1"/>
  <c r="G2481" i="2"/>
  <c r="G2482" i="2"/>
  <c r="G2484" i="2" s="1"/>
  <c r="H2259" i="2"/>
  <c r="H2261" i="2" s="1"/>
  <c r="H2258" i="2"/>
  <c r="G2039" i="2"/>
  <c r="G2040" i="2" s="1"/>
  <c r="G2042" i="2" s="1"/>
  <c r="H1727" i="2"/>
  <c r="H1728" i="2" s="1"/>
  <c r="H1730" i="2" s="1"/>
  <c r="H1507" i="2"/>
  <c r="H1508" i="2" s="1"/>
  <c r="G1508" i="2" s="1"/>
  <c r="H494" i="2"/>
  <c r="H495" i="2"/>
  <c r="H497" i="2" s="1"/>
  <c r="G3602" i="2"/>
  <c r="G3607" i="2" s="1"/>
  <c r="G3375" i="2"/>
  <c r="G3376" i="2" s="1"/>
  <c r="G3379" i="2" s="1"/>
  <c r="H3359" i="2"/>
  <c r="H3362" i="2" s="1"/>
  <c r="H3320" i="2"/>
  <c r="H3290" i="2"/>
  <c r="H3292" i="2" s="1"/>
  <c r="H3241" i="2"/>
  <c r="H3242" i="2" s="1"/>
  <c r="G3156" i="2"/>
  <c r="G3157" i="2" s="1"/>
  <c r="G3159" i="2" s="1"/>
  <c r="H3029" i="2"/>
  <c r="H3030" i="2" s="1"/>
  <c r="H3032" i="2" s="1"/>
  <c r="G3024" i="2"/>
  <c r="H3013" i="2"/>
  <c r="H2794" i="2"/>
  <c r="H2795" i="2" s="1"/>
  <c r="H2798" i="2" s="1"/>
  <c r="G2631" i="2"/>
  <c r="G2632" i="2"/>
  <c r="G2635" i="2" s="1"/>
  <c r="H2398" i="2"/>
  <c r="H2400" i="2" s="1"/>
  <c r="H2284" i="2"/>
  <c r="H2285" i="2" s="1"/>
  <c r="H2287" i="2" s="1"/>
  <c r="H1902" i="2"/>
  <c r="H1903" i="2" s="1"/>
  <c r="H1905" i="2" s="1"/>
  <c r="G1728" i="2"/>
  <c r="G1730" i="2" s="1"/>
  <c r="G1285" i="2"/>
  <c r="G1286" i="2" s="1"/>
  <c r="G263" i="2"/>
  <c r="G265" i="2" s="1"/>
  <c r="H3437" i="2"/>
  <c r="H3438" i="2" s="1"/>
  <c r="H3441" i="2" s="1"/>
  <c r="H3376" i="2"/>
  <c r="H3379" i="2" s="1"/>
  <c r="H3346" i="2"/>
  <c r="H3347" i="2" s="1"/>
  <c r="H3350" i="2" s="1"/>
  <c r="H2978" i="2"/>
  <c r="G2794" i="2"/>
  <c r="G2795" i="2"/>
  <c r="G2798" i="2" s="1"/>
  <c r="H2481" i="2"/>
  <c r="H2482" i="2" s="1"/>
  <c r="H2484" i="2" s="1"/>
  <c r="H2412" i="2"/>
  <c r="H2413" i="2" s="1"/>
  <c r="H2414" i="2" s="1"/>
  <c r="H2377" i="2"/>
  <c r="G2328" i="2"/>
  <c r="G2329" i="2" s="1"/>
  <c r="G2331" i="2" s="1"/>
  <c r="G2284" i="2"/>
  <c r="G2285" i="2" s="1"/>
  <c r="G2287" i="2" s="1"/>
  <c r="G2259" i="2"/>
  <c r="G2261" i="2" s="1"/>
  <c r="G1803" i="2"/>
  <c r="G1748" i="2"/>
  <c r="G1749" i="2"/>
  <c r="G1751" i="2" s="1"/>
  <c r="H1363" i="2"/>
  <c r="G588" i="2"/>
  <c r="G589" i="2" s="1"/>
  <c r="G590" i="2" s="1"/>
  <c r="G329" i="2"/>
  <c r="G331" i="2" s="1"/>
  <c r="G651" i="2"/>
  <c r="G652" i="2" s="1"/>
  <c r="H2962" i="2"/>
  <c r="H2963" i="2" s="1"/>
  <c r="H2965" i="2" s="1"/>
  <c r="H2867" i="2"/>
  <c r="H2869" i="2" s="1"/>
  <c r="H2460" i="2"/>
  <c r="H2461" i="2" s="1"/>
  <c r="H2463" i="2" s="1"/>
  <c r="H2130" i="2"/>
  <c r="H2131" i="2" s="1"/>
  <c r="H2133" i="2" s="1"/>
  <c r="G1542" i="2"/>
  <c r="G1545" i="2" s="1"/>
  <c r="G976" i="2"/>
  <c r="G977" i="2"/>
  <c r="G979" i="2" s="1"/>
  <c r="H650" i="2"/>
  <c r="H651" i="2"/>
  <c r="H652" i="2" s="1"/>
  <c r="G603" i="2"/>
  <c r="G604" i="2" s="1"/>
  <c r="G225" i="2"/>
  <c r="G226" i="2"/>
  <c r="G228" i="2" s="1"/>
  <c r="H3570" i="2"/>
  <c r="H3571" i="2" s="1"/>
  <c r="H3574" i="2" s="1"/>
  <c r="G3347" i="2"/>
  <c r="G3350" i="2" s="1"/>
  <c r="G3321" i="2"/>
  <c r="G3324" i="2" s="1"/>
  <c r="H3298" i="2"/>
  <c r="H3299" i="2"/>
  <c r="H3303" i="2" s="1"/>
  <c r="G2962" i="2"/>
  <c r="G2963" i="2" s="1"/>
  <c r="G2965" i="2" s="1"/>
  <c r="H2866" i="2"/>
  <c r="H2772" i="2"/>
  <c r="H2773" i="2" s="1"/>
  <c r="H2524" i="2"/>
  <c r="G2439" i="2"/>
  <c r="G2170" i="2"/>
  <c r="G2131" i="2"/>
  <c r="G2133" i="2" s="1"/>
  <c r="H2039" i="2"/>
  <c r="H2040" i="2" s="1"/>
  <c r="H2042" i="2" s="1"/>
  <c r="H1653" i="2"/>
  <c r="H1655" i="2" s="1"/>
  <c r="H1652" i="2"/>
  <c r="G1610" i="2"/>
  <c r="H1479" i="2"/>
  <c r="H1481" i="2" s="1"/>
  <c r="H1168" i="2"/>
  <c r="H1169" i="2" s="1"/>
  <c r="H1171" i="2" s="1"/>
  <c r="G1024" i="2"/>
  <c r="G1025" i="2"/>
  <c r="G1027" i="2" s="1"/>
  <c r="H390" i="2"/>
  <c r="H391" i="2" s="1"/>
  <c r="H393" i="2" s="1"/>
  <c r="H263" i="2"/>
  <c r="H265" i="2" s="1"/>
  <c r="H262" i="2"/>
  <c r="H225" i="2"/>
  <c r="H226" i="2" s="1"/>
  <c r="H228" i="2" s="1"/>
  <c r="H137" i="2"/>
  <c r="H138" i="2" s="1"/>
  <c r="H140" i="2" s="1"/>
  <c r="G3461" i="2"/>
  <c r="G3010" i="2"/>
  <c r="G3011" i="2"/>
  <c r="G3013" i="2" s="1"/>
  <c r="H2505" i="2"/>
  <c r="H2507" i="2" s="1"/>
  <c r="H2170" i="2"/>
  <c r="H2171" i="2" s="1"/>
  <c r="H2173" i="2" s="1"/>
  <c r="G1845" i="2"/>
  <c r="H1748" i="2"/>
  <c r="G3564" i="2"/>
  <c r="H3540" i="2"/>
  <c r="H3549" i="2" s="1"/>
  <c r="G3299" i="2"/>
  <c r="G3303" i="2" s="1"/>
  <c r="G2916" i="2"/>
  <c r="G2917" i="2" s="1"/>
  <c r="G2919" i="2" s="1"/>
  <c r="H2884" i="2"/>
  <c r="H2885" i="2" s="1"/>
  <c r="H2887" i="2" s="1"/>
  <c r="G2524" i="2"/>
  <c r="G2525" i="2" s="1"/>
  <c r="G2527" i="2" s="1"/>
  <c r="H2428" i="2"/>
  <c r="H2430" i="2" s="1"/>
  <c r="H2092" i="2"/>
  <c r="H2093" i="2" s="1"/>
  <c r="H2095" i="2" s="1"/>
  <c r="G1652" i="2"/>
  <c r="G1653" i="2" s="1"/>
  <c r="G1655" i="2" s="1"/>
  <c r="H1342" i="2"/>
  <c r="H1343" i="2" s="1"/>
  <c r="H1345" i="2" s="1"/>
  <c r="H1249" i="2"/>
  <c r="H1250" i="2" s="1"/>
  <c r="H1252" i="2" s="1"/>
  <c r="G779" i="2"/>
  <c r="G780" i="2" s="1"/>
  <c r="G446" i="2"/>
  <c r="G447" i="2"/>
  <c r="G449" i="2" s="1"/>
  <c r="H329" i="2"/>
  <c r="H331" i="2" s="1"/>
  <c r="H160" i="2"/>
  <c r="H162" i="2" s="1"/>
  <c r="G835" i="2"/>
  <c r="G837" i="2" s="1"/>
  <c r="G678" i="2"/>
  <c r="G2398" i="2"/>
  <c r="G2400" i="2" s="1"/>
  <c r="H2119" i="2"/>
  <c r="H2120" i="2" s="1"/>
  <c r="G2092" i="2"/>
  <c r="G2093" i="2" s="1"/>
  <c r="G2095" i="2" s="1"/>
  <c r="H1965" i="2"/>
  <c r="H1967" i="2" s="1"/>
  <c r="H1863" i="2"/>
  <c r="H1864" i="2" s="1"/>
  <c r="H1866" i="2" s="1"/>
  <c r="G1531" i="2"/>
  <c r="G1532" i="2" s="1"/>
  <c r="H1520" i="2"/>
  <c r="G1398" i="2"/>
  <c r="G1377" i="2"/>
  <c r="G1379" i="2" s="1"/>
  <c r="G1250" i="2"/>
  <c r="G1252" i="2" s="1"/>
  <c r="G1135" i="2"/>
  <c r="G1136" i="2"/>
  <c r="G1038" i="2"/>
  <c r="G1040" i="2" s="1"/>
  <c r="G930" i="2"/>
  <c r="G931" i="2" s="1"/>
  <c r="G933" i="2" s="1"/>
  <c r="H916" i="2"/>
  <c r="H917" i="2" s="1"/>
  <c r="H918" i="2" s="1"/>
  <c r="G918" i="2" s="1"/>
  <c r="H768" i="2"/>
  <c r="H772" i="2" s="1"/>
  <c r="H589" i="2"/>
  <c r="H590" i="2" s="1"/>
  <c r="H577" i="2"/>
  <c r="H578" i="2" s="1"/>
  <c r="H579" i="2" s="1"/>
  <c r="G432" i="2"/>
  <c r="G434" i="2" s="1"/>
  <c r="H434" i="2" s="1"/>
  <c r="G431" i="2"/>
  <c r="H298" i="2"/>
  <c r="H299" i="2" s="1"/>
  <c r="H301" i="2" s="1"/>
  <c r="H121" i="2"/>
  <c r="H123" i="2" s="1"/>
  <c r="H1037" i="2"/>
  <c r="H1038" i="2" s="1"/>
  <c r="H1040" i="2" s="1"/>
  <c r="G706" i="2"/>
  <c r="G707" i="2" s="1"/>
  <c r="G708" i="2" s="1"/>
  <c r="G390" i="2"/>
  <c r="G391" i="2"/>
  <c r="G393" i="2" s="1"/>
  <c r="H2562" i="2"/>
  <c r="H2565" i="2" s="1"/>
  <c r="H2567" i="2" s="1"/>
  <c r="H2397" i="2"/>
  <c r="G2232" i="2"/>
  <c r="G2234" i="2" s="1"/>
  <c r="G2119" i="2"/>
  <c r="G2120" i="2" s="1"/>
  <c r="H1933" i="2"/>
  <c r="H1934" i="2" s="1"/>
  <c r="H1939" i="2" s="1"/>
  <c r="H1597" i="2"/>
  <c r="H1598" i="2" s="1"/>
  <c r="H1600" i="2" s="1"/>
  <c r="G1506" i="2"/>
  <c r="G1507" i="2" s="1"/>
  <c r="G1509" i="2" s="1"/>
  <c r="G1399" i="2"/>
  <c r="G1401" i="2" s="1"/>
  <c r="H1399" i="2"/>
  <c r="H1401" i="2" s="1"/>
  <c r="G1111" i="2"/>
  <c r="G1112" i="2" s="1"/>
  <c r="G1114" i="2" s="1"/>
  <c r="G941" i="2"/>
  <c r="G942" i="2" s="1"/>
  <c r="G944" i="2" s="1"/>
  <c r="H931" i="2"/>
  <c r="H933" i="2" s="1"/>
  <c r="H767" i="2"/>
  <c r="H513" i="2"/>
  <c r="H515" i="2" s="1"/>
  <c r="G414" i="2"/>
  <c r="G415" i="2" s="1"/>
  <c r="G417" i="2" s="1"/>
  <c r="H341" i="2"/>
  <c r="H342" i="2" s="1"/>
  <c r="H344" i="2" s="1"/>
  <c r="G2709" i="2"/>
  <c r="H2209" i="2"/>
  <c r="H2210" i="2" s="1"/>
  <c r="H2212" i="2" s="1"/>
  <c r="H1987" i="2"/>
  <c r="H1989" i="2" s="1"/>
  <c r="G1902" i="2"/>
  <c r="G1903" i="2" s="1"/>
  <c r="G1905" i="2" s="1"/>
  <c r="G1818" i="2"/>
  <c r="G1790" i="2"/>
  <c r="G1791" i="2" s="1"/>
  <c r="G1794" i="2" s="1"/>
  <c r="G1579" i="2"/>
  <c r="G1580" i="2" s="1"/>
  <c r="G1582" i="2" s="1"/>
  <c r="G1522" i="2"/>
  <c r="G1523" i="2" s="1"/>
  <c r="H1506" i="2"/>
  <c r="H1398" i="2"/>
  <c r="G1343" i="2"/>
  <c r="G1345" i="2" s="1"/>
  <c r="G1168" i="2"/>
  <c r="G1169" i="2" s="1"/>
  <c r="G1171" i="2" s="1"/>
  <c r="H875" i="2"/>
  <c r="H877" i="2" s="1"/>
  <c r="H687" i="2"/>
  <c r="H688" i="2" s="1"/>
  <c r="H689" i="2" s="1"/>
  <c r="H603" i="2"/>
  <c r="H604" i="2" s="1"/>
  <c r="G513" i="2"/>
  <c r="G515" i="2" s="1"/>
  <c r="G262" i="2"/>
  <c r="G170" i="2"/>
  <c r="G171" i="2" s="1"/>
  <c r="G173" i="2" s="1"/>
  <c r="H147" i="2"/>
  <c r="H148" i="2" s="1"/>
  <c r="H150" i="2" s="1"/>
  <c r="H146" i="2"/>
  <c r="H1459" i="2"/>
  <c r="H1460" i="2" s="1"/>
  <c r="G1213" i="2"/>
  <c r="G1217" i="2" s="1"/>
  <c r="H1024" i="2"/>
  <c r="H1025" i="2" s="1"/>
  <c r="H1027" i="2" s="1"/>
  <c r="H942" i="2"/>
  <c r="H944" i="2" s="1"/>
  <c r="G577" i="2"/>
  <c r="G578" i="2" s="1"/>
  <c r="G579" i="2" s="1"/>
  <c r="H414" i="2"/>
  <c r="H415" i="2" s="1"/>
  <c r="H417" i="2" s="1"/>
  <c r="G364" i="2"/>
  <c r="G365" i="2" s="1"/>
  <c r="G367" i="2" s="1"/>
  <c r="H87" i="2"/>
  <c r="G78" i="2"/>
  <c r="G79" i="2" s="1"/>
  <c r="G81" i="2" s="1"/>
  <c r="H1749" i="2"/>
  <c r="H1751" i="2" s="1"/>
  <c r="G1676" i="2"/>
  <c r="G1678" i="2" s="1"/>
  <c r="G1633" i="2"/>
  <c r="G1634" i="2" s="1"/>
  <c r="G1636" i="2" s="1"/>
  <c r="G1597" i="2"/>
  <c r="G1598" i="2" s="1"/>
  <c r="G1600" i="2" s="1"/>
  <c r="G1478" i="2"/>
  <c r="G1479" i="2" s="1"/>
  <c r="G1481" i="2" s="1"/>
  <c r="H1376" i="2"/>
  <c r="H1377" i="2" s="1"/>
  <c r="H1379" i="2" s="1"/>
  <c r="G1317" i="2"/>
  <c r="G1323" i="2" s="1"/>
  <c r="G792" i="2"/>
  <c r="G794" i="2" s="1"/>
  <c r="G623" i="2"/>
  <c r="G624" i="2" s="1"/>
  <c r="G625" i="2" s="1"/>
  <c r="H480" i="2"/>
  <c r="H482" i="2" s="1"/>
  <c r="H432" i="2"/>
  <c r="H402" i="2"/>
  <c r="H404" i="2" s="1"/>
  <c r="G299" i="2"/>
  <c r="G301" i="2" s="1"/>
  <c r="H190" i="2"/>
  <c r="H192" i="2" s="1"/>
  <c r="H171" i="2"/>
  <c r="H173" i="2" s="1"/>
  <c r="G1986" i="2"/>
  <c r="G1987" i="2" s="1"/>
  <c r="G1989" i="2" s="1"/>
  <c r="H1611" i="2"/>
  <c r="H1614" i="2" s="1"/>
  <c r="H1579" i="2"/>
  <c r="H1580" i="2" s="1"/>
  <c r="H1582" i="2" s="1"/>
  <c r="H1436" i="2"/>
  <c r="H1437" i="2" s="1"/>
  <c r="H1439" i="2" s="1"/>
  <c r="H1285" i="2"/>
  <c r="H1286" i="2" s="1"/>
  <c r="G958" i="2"/>
  <c r="G959" i="2" s="1"/>
  <c r="G961" i="2" s="1"/>
  <c r="H792" i="2"/>
  <c r="H794" i="2" s="1"/>
  <c r="G719" i="2"/>
  <c r="G720" i="2" s="1"/>
  <c r="H667" i="2"/>
  <c r="H668" i="2" s="1"/>
  <c r="G341" i="2"/>
  <c r="G342" i="2" s="1"/>
  <c r="G344" i="2" s="1"/>
  <c r="H279" i="2"/>
  <c r="H281" i="2" s="1"/>
  <c r="G190" i="2"/>
  <c r="G192" i="2" s="1"/>
  <c r="G160" i="2"/>
  <c r="G162" i="2" s="1"/>
  <c r="G781" i="2" l="1"/>
  <c r="H781" i="2" s="1"/>
  <c r="H780" i="2"/>
  <c r="G1289" i="2"/>
  <c r="H1138" i="2"/>
  <c r="G1138" i="2" s="1"/>
  <c r="G1139" i="2" s="1"/>
  <c r="H1139" i="2"/>
  <c r="H3245" i="2"/>
  <c r="H3244" i="2"/>
  <c r="G3244" i="2" s="1"/>
  <c r="G3245" i="2" s="1"/>
  <c r="H1289" i="2"/>
  <c r="H1288" i="2"/>
  <c r="G1288" i="2" s="1"/>
  <c r="G2725" i="2"/>
  <c r="G2726" i="2"/>
  <c r="G2728" i="2" s="1"/>
  <c r="H1522" i="2"/>
  <c r="H1523" i="2" s="1"/>
  <c r="G1863" i="2"/>
  <c r="G1864" i="2" s="1"/>
  <c r="G1866" i="2" s="1"/>
  <c r="G3029" i="2"/>
  <c r="G3030" i="2"/>
  <c r="G3032" i="2" s="1"/>
  <c r="G2460" i="2"/>
  <c r="G2461" i="2" s="1"/>
  <c r="G2463" i="2" s="1"/>
  <c r="H2111" i="2"/>
  <c r="G3467" i="2"/>
  <c r="G3468" i="2"/>
  <c r="G3471" i="2" s="1"/>
  <c r="G3570" i="2"/>
  <c r="G3571" i="2" s="1"/>
  <c r="G3574" i="2" s="1"/>
  <c r="H2659" i="2"/>
</calcChain>
</file>

<file path=xl/sharedStrings.xml><?xml version="1.0" encoding="utf-8"?>
<sst xmlns="http://schemas.openxmlformats.org/spreadsheetml/2006/main" count="6384" uniqueCount="3230">
  <si>
    <t>STEVENSON, JERRY G.</t>
  </si>
  <si>
    <t>BOLAND, CINDY</t>
  </si>
  <si>
    <t>CRAW, RUTH</t>
  </si>
  <si>
    <t>EARNEST, HUGH H.</t>
  </si>
  <si>
    <t>COBB, PAMELA D.</t>
  </si>
  <si>
    <t>JACKSON, B. JAN</t>
  </si>
  <si>
    <t>STEVENS, SUZANNE</t>
  </si>
  <si>
    <t>Radio, Television and Film</t>
  </si>
  <si>
    <t>WAHL-WILSON, LYNDA E.</t>
  </si>
  <si>
    <t>GUERRA, D. M.</t>
  </si>
  <si>
    <t>STEFANIAK, GREGORY</t>
  </si>
  <si>
    <t>BREEDLOVE, OPHELIA</t>
  </si>
  <si>
    <t>MINICOZZI, JUDI A.</t>
  </si>
  <si>
    <t>DEAN, ROBIN M.</t>
  </si>
  <si>
    <t>YOUNG, JOYCE L.</t>
  </si>
  <si>
    <t>Purchasing office</t>
  </si>
  <si>
    <t>SHEPHERD, MICHAEL E.</t>
  </si>
  <si>
    <t>WOODSON, J.J.</t>
  </si>
  <si>
    <t>BUYER SUPERVISOR</t>
  </si>
  <si>
    <t xml:space="preserve">PROBST, SUZETTE R. </t>
  </si>
  <si>
    <t>BRINTZENHOFF, JACKIE J.</t>
  </si>
  <si>
    <t>BUYER</t>
  </si>
  <si>
    <t>COLWELL, LAVONNE M.</t>
  </si>
  <si>
    <t>JENKINS, MARY G.</t>
  </si>
  <si>
    <t>HINMAN, STEPHENIE M.</t>
  </si>
  <si>
    <t>RIDENOUR, ROBIN G.</t>
  </si>
  <si>
    <t>TAYLOR, CAROL J.</t>
  </si>
  <si>
    <t>ADMINISTRATIVE OFFICE SUPERVISOR</t>
  </si>
  <si>
    <t>FAUST, JUDITH K.</t>
  </si>
  <si>
    <t>GARLAND, AMY E.</t>
  </si>
  <si>
    <t>Speech Communication</t>
  </si>
  <si>
    <t>HEMPHILL, MICHAEL R.</t>
  </si>
  <si>
    <t>DEPARTMENT CHAIR/PROFESSOR</t>
  </si>
  <si>
    <t>WARD, A.L.</t>
  </si>
  <si>
    <t>DRISKILL, GERALD W.</t>
  </si>
  <si>
    <t>PLEDGER, LINDA M.</t>
  </si>
  <si>
    <t>THOMPSON, CAROL L.</t>
  </si>
  <si>
    <t>LOWRY, CATHERINE</t>
  </si>
  <si>
    <t>RAWN, MARY E.</t>
  </si>
  <si>
    <t>KERR, SHARON H.</t>
  </si>
  <si>
    <t>MARTIN, C. S.</t>
  </si>
  <si>
    <t>STIPSKY, LINDA B.</t>
  </si>
  <si>
    <t>SCOTT, THOMAS F.</t>
  </si>
  <si>
    <t>ACCOUNTING TECH II</t>
  </si>
  <si>
    <t>ROSE, TONY</t>
  </si>
  <si>
    <t>THEVENET, TERRI K.</t>
  </si>
  <si>
    <t>LIBRARY ACADEMIC TECH III</t>
  </si>
  <si>
    <t>ETTLEMAN, JOHN K.</t>
  </si>
  <si>
    <t>CASH, ROBERT A.</t>
  </si>
  <si>
    <t>JACKSON, BRENDA A.</t>
  </si>
  <si>
    <t>ROUCH, BETTY</t>
  </si>
  <si>
    <t>VAN ENK, MARY</t>
  </si>
  <si>
    <t>LEGRAND, DENISE J.</t>
  </si>
  <si>
    <t>MANSELL, ANTHONY G.</t>
  </si>
  <si>
    <t>MARTIN, MARCY M.</t>
  </si>
  <si>
    <t>SCHONERT, DAVID</t>
  </si>
  <si>
    <t>SHAW, ELIZABETH W.</t>
  </si>
  <si>
    <t>SIMS, BURLA J.</t>
  </si>
  <si>
    <t>HARDEMAN, MELISSA A.</t>
  </si>
  <si>
    <t>KEATING, KAREN D.</t>
  </si>
  <si>
    <t>Tennis (Women)</t>
  </si>
  <si>
    <t>59079C</t>
  </si>
  <si>
    <t>GRADUATE ASSISTANT</t>
  </si>
  <si>
    <t>Swimming (Women)</t>
  </si>
  <si>
    <t>TURNER, CHARLES R.</t>
  </si>
  <si>
    <t>WILLIAMS, KELLEY M.</t>
  </si>
  <si>
    <t>WRIGHT, ADAM C.</t>
  </si>
  <si>
    <t>UNCOLLECTIBLE ACCOUNTS</t>
  </si>
  <si>
    <t>BANK SERVICE CHARGES</t>
  </si>
  <si>
    <t>ADVERTISING &amp; RECRUITMENT</t>
  </si>
  <si>
    <t>GENERAL INST. RECRUITMENT</t>
  </si>
  <si>
    <t>GENERAL INSTITUTION</t>
  </si>
  <si>
    <t>LEGAL FEES</t>
  </si>
  <si>
    <t>ROBERTSON, ROBY D.</t>
  </si>
  <si>
    <t>LYNCH, JAMES R.</t>
  </si>
  <si>
    <t>SIMO, GLORIA A.</t>
  </si>
  <si>
    <t>HEER, PEGGY J.</t>
  </si>
  <si>
    <t>PATTERSON, STACEY R.</t>
  </si>
  <si>
    <t>BECK, CHARLOTTE</t>
  </si>
  <si>
    <t>99265B</t>
  </si>
  <si>
    <t>55065B</t>
  </si>
  <si>
    <t>PHILLIPS, JOE G.</t>
  </si>
  <si>
    <t>SIZEMORE, JEAN W.</t>
  </si>
  <si>
    <t>WARRICK, MICHAEL R.</t>
  </si>
  <si>
    <t>WILLIAMS-SMITH, MARJORIE</t>
  </si>
  <si>
    <t>ASSOCIATE PROFESSOR/GRAD. COORDINATOR</t>
  </si>
  <si>
    <t>BLACK, BONNIE J.</t>
  </si>
  <si>
    <t>MITCHELL, SHANNON D.</t>
  </si>
  <si>
    <t>GRACE, LAURA M.</t>
  </si>
  <si>
    <t>HARDIN, DELORES R.</t>
  </si>
  <si>
    <t>ASSISTANT EXTENTION SPECIALIST</t>
  </si>
  <si>
    <t>KARSON, THOMAS D.</t>
  </si>
  <si>
    <t>COLE, CLARA S.</t>
  </si>
  <si>
    <t>99267B</t>
  </si>
  <si>
    <t>67067B</t>
  </si>
  <si>
    <t>55067B</t>
  </si>
  <si>
    <t>Campus and Community Partnerships</t>
  </si>
  <si>
    <t>CHAPMAN, CHERYL A.</t>
  </si>
  <si>
    <t>COLCLASURE, KATHY J.</t>
  </si>
  <si>
    <t>59070B</t>
  </si>
  <si>
    <t>KINCADE, GERTRUDE C.</t>
  </si>
  <si>
    <t>STIRITZ, HANS A.</t>
  </si>
  <si>
    <t>LAW, WARREN E.</t>
  </si>
  <si>
    <t>GRISSOM, JOHN T.</t>
  </si>
  <si>
    <t>SCHILLING, RANDOLPH J.</t>
  </si>
  <si>
    <t>SUGG JR, M.N.</t>
  </si>
  <si>
    <t>YE, XIU</t>
  </si>
  <si>
    <t>KAUFMANN, ERIC R.</t>
  </si>
  <si>
    <t>PETER, THOMAS F.</t>
  </si>
  <si>
    <t>COFFIN, TINA B.</t>
  </si>
  <si>
    <t>ENOCH, RUTH D.</t>
  </si>
  <si>
    <t>GALLANT, KENNETH S.</t>
  </si>
  <si>
    <t>VISITING PROF LAW / DIR OF LEGAL CLINIC</t>
  </si>
  <si>
    <t>MORRIS, DAWN M.</t>
  </si>
  <si>
    <t>HALL, PRENTICE N.</t>
  </si>
  <si>
    <t>CAREER BONUS</t>
  </si>
  <si>
    <t>55074C</t>
  </si>
  <si>
    <t>Athletic Facilities Transfer</t>
  </si>
  <si>
    <t>Contingency</t>
  </si>
  <si>
    <t>Marketing and Promotions</t>
  </si>
  <si>
    <t>HOGAN, GARY R.</t>
  </si>
  <si>
    <t>ASSOCIATE ATHLETIC DIRECTOR</t>
  </si>
  <si>
    <t>Sports Information</t>
  </si>
  <si>
    <t>GARRITY JR., MICHAEL J.</t>
  </si>
  <si>
    <t>LAUDERDALE, CHARLOTTE A.</t>
  </si>
  <si>
    <t>RASMUSSEN, DAVID R.</t>
  </si>
  <si>
    <t>COX II, THOMAS E.</t>
  </si>
  <si>
    <t>EDWARDS, MARTHA A.</t>
  </si>
  <si>
    <t>HATLEY, LEANN R.</t>
  </si>
  <si>
    <t>HIGH, RHONDA L.</t>
  </si>
  <si>
    <t>PETERSON, RANDOLPH L.</t>
  </si>
  <si>
    <t>LEDBETTER, GRAINGER L.</t>
  </si>
  <si>
    <t>SINGLETARY, PRISCILLA R.</t>
  </si>
  <si>
    <t>WALKER, KENT R.</t>
  </si>
  <si>
    <t>Law School - Vending Income</t>
  </si>
  <si>
    <t>Law School - Contract Income</t>
  </si>
  <si>
    <t>Food Service</t>
  </si>
  <si>
    <t>Donaghey Student Center</t>
  </si>
  <si>
    <t>ADAMS, JACKIE E.</t>
  </si>
  <si>
    <t>HOULE, VICKEY J.</t>
  </si>
  <si>
    <t>AMRSTRONG, CRISTIE D.</t>
  </si>
  <si>
    <t>ELDRIDGE, DONNA R.</t>
  </si>
  <si>
    <t>CHISHOLM, ROGER K.</t>
  </si>
  <si>
    <t>FORD, RICHARD K.</t>
  </si>
  <si>
    <t>LINDEMAN II, JOHN B.</t>
  </si>
  <si>
    <t>PICKETT, JOHN C.</t>
  </si>
  <si>
    <t>SHULL, R.B.</t>
  </si>
  <si>
    <t>ELDER, ERICK M.</t>
  </si>
  <si>
    <t>ASSISTANT PROFESSOR</t>
  </si>
  <si>
    <t>HUFF, ELISA</t>
  </si>
  <si>
    <t>HUTTON, TERRI J.</t>
  </si>
  <si>
    <t>HIGHLY, PATRICIA A.</t>
  </si>
  <si>
    <t>MCCALLISTER, J. MIKE</t>
  </si>
  <si>
    <t>Management</t>
  </si>
  <si>
    <t>MITCHELL, ROBERT B.</t>
  </si>
  <si>
    <t>ROYCE, JOSEPH E.</t>
  </si>
  <si>
    <t>REDDING, MELODY D.</t>
  </si>
  <si>
    <t>HARRIS, PHILLIP W.</t>
  </si>
  <si>
    <t>DORSEY, JAMES B.</t>
  </si>
  <si>
    <t>STRIBLING, ROBERTA L.</t>
  </si>
  <si>
    <t>LAETTNER, TRACEY L.</t>
  </si>
  <si>
    <t>RSCH/EXTENSION SPECIALIST</t>
  </si>
  <si>
    <t>R99156</t>
  </si>
  <si>
    <t>R99155</t>
  </si>
  <si>
    <t>R99154</t>
  </si>
  <si>
    <t>R99153</t>
  </si>
  <si>
    <t>R99152</t>
  </si>
  <si>
    <t>R99151</t>
  </si>
  <si>
    <t>R99150</t>
  </si>
  <si>
    <t>R99149</t>
  </si>
  <si>
    <t>R99148</t>
  </si>
  <si>
    <t>R99147</t>
  </si>
  <si>
    <t>R99146</t>
  </si>
  <si>
    <t>R99145</t>
  </si>
  <si>
    <t>R99144</t>
  </si>
  <si>
    <t>R99143</t>
  </si>
  <si>
    <t>R99142</t>
  </si>
  <si>
    <t>R99141</t>
  </si>
  <si>
    <t>R99140</t>
  </si>
  <si>
    <t>R99139</t>
  </si>
  <si>
    <t>R99138</t>
  </si>
  <si>
    <t>R99137</t>
  </si>
  <si>
    <t>R99136</t>
  </si>
  <si>
    <t>R99135</t>
  </si>
  <si>
    <t>R99133</t>
  </si>
  <si>
    <t>R99132</t>
  </si>
  <si>
    <t>R99131</t>
  </si>
  <si>
    <t>R99130</t>
  </si>
  <si>
    <t>R99127</t>
  </si>
  <si>
    <t>R99126</t>
  </si>
  <si>
    <t>R99125</t>
  </si>
  <si>
    <t>R99124</t>
  </si>
  <si>
    <t>R99123</t>
  </si>
  <si>
    <t>R99122</t>
  </si>
  <si>
    <t>R99121</t>
  </si>
  <si>
    <t>R99120</t>
  </si>
  <si>
    <t>R99119</t>
  </si>
  <si>
    <t>R99118</t>
  </si>
  <si>
    <t>R99117</t>
  </si>
  <si>
    <t>R99116</t>
  </si>
  <si>
    <t>R99115</t>
  </si>
  <si>
    <t>EMORY, MELVIN R.</t>
  </si>
  <si>
    <t>JOURNEYMAN CARPENTER</t>
  </si>
  <si>
    <t>MEEKS,MARION J.</t>
  </si>
  <si>
    <t>JOURNEYMAN PAINTER</t>
  </si>
  <si>
    <t>PITTS, JAMES K.</t>
  </si>
  <si>
    <t>MORTON, MATTHEW</t>
  </si>
  <si>
    <t>FLOYD, BOBBY C.</t>
  </si>
  <si>
    <t>HE PUBLIC SAFETY SUPERVISOR</t>
  </si>
  <si>
    <t>EVANS, CHARLES R.</t>
  </si>
  <si>
    <t>HEATH, JAMES L.</t>
  </si>
  <si>
    <t>HE PUBLIC SAFETY OFFICER II</t>
  </si>
  <si>
    <t>MILLER, DON D.</t>
  </si>
  <si>
    <t>BEDELL, CYNTHIA D.</t>
  </si>
  <si>
    <t>67052B</t>
  </si>
  <si>
    <t>99252B</t>
  </si>
  <si>
    <t>55052B</t>
  </si>
  <si>
    <t>CBA Outreach Program</t>
  </si>
  <si>
    <t>55025H</t>
  </si>
  <si>
    <t>Center for Teaching &amp; Learning</t>
  </si>
  <si>
    <t>Graduate Institute of Technology</t>
  </si>
  <si>
    <t>TENNAL, KEVIN B.</t>
  </si>
  <si>
    <t>HUBBARD, MARTHA A.</t>
  </si>
  <si>
    <t>TULL, LYNNE G.</t>
  </si>
  <si>
    <t>COLE, REAGAN</t>
  </si>
  <si>
    <t>FUNDYLER, YELFIM Y.</t>
  </si>
  <si>
    <t>TOLAND, ALAN D.</t>
  </si>
  <si>
    <t>WANKUM, DAVID L.</t>
  </si>
  <si>
    <t>WATSON, DIANE K.</t>
  </si>
  <si>
    <t>TOMANY, ARMAND J.</t>
  </si>
  <si>
    <t>FABRICATIONS SHOP MGR</t>
  </si>
  <si>
    <t>KALB, KEN H.</t>
  </si>
  <si>
    <t>JOHNSON, E. LAVERNE</t>
  </si>
  <si>
    <t>RECEPTIONIST</t>
  </si>
  <si>
    <t>99253B</t>
  </si>
  <si>
    <t>59053B</t>
  </si>
  <si>
    <t>Physical Plant - Warehouse - Central Stores</t>
  </si>
  <si>
    <t>PURCHASE OF SUPPLIES</t>
  </si>
  <si>
    <t>PRINTING</t>
  </si>
  <si>
    <t>COMPUTER LAB ALLOCATION</t>
  </si>
  <si>
    <t>Crazy Horse</t>
  </si>
  <si>
    <t>Writing and Humanities</t>
  </si>
  <si>
    <t>Rhetoric and Writing</t>
  </si>
  <si>
    <t>RAYMOND, RICHARD C.</t>
  </si>
  <si>
    <t>MAID, BARRY M.</t>
  </si>
  <si>
    <t>NELSON, JIMMY L.</t>
  </si>
  <si>
    <t>LANCASTER, JOHN</t>
  </si>
  <si>
    <t>SOWERBROWER, ARNOLD D.</t>
  </si>
  <si>
    <t>Academic Advising</t>
  </si>
  <si>
    <t>HOEFT, THEA M.</t>
  </si>
  <si>
    <t>JOURNEYMAN PLUMBER</t>
  </si>
  <si>
    <t>HAYNES, DANNY</t>
  </si>
  <si>
    <t>HEWETT, ROBERT W.</t>
  </si>
  <si>
    <t>HVAC MECHANIC</t>
  </si>
  <si>
    <t>LATTIN JR., SAMUEL D.</t>
  </si>
  <si>
    <t>REED, WILLIAM</t>
  </si>
  <si>
    <t>SHNAEKEL, WILLIAM</t>
  </si>
  <si>
    <t>CRISS, PAMELA R.</t>
  </si>
  <si>
    <t>THOMAS, REMONA A.</t>
  </si>
  <si>
    <t>55087B</t>
  </si>
  <si>
    <t>Physical Plant - Deferred Maintenance</t>
  </si>
  <si>
    <t>Physical Plant - Regulatory</t>
  </si>
  <si>
    <t>ADA COMPLIANCE</t>
  </si>
  <si>
    <t>ASBESTOS REMOVAL</t>
  </si>
  <si>
    <t>Utilities</t>
  </si>
  <si>
    <t>TRANSFER FOR DEBT SERVICE</t>
  </si>
  <si>
    <t>ELECTRIC DISTRIBUTION REP</t>
  </si>
  <si>
    <t>ELECTRIC</t>
  </si>
  <si>
    <t>GAS</t>
  </si>
  <si>
    <t>WATER</t>
  </si>
  <si>
    <t>MAINTENANCE CONTRACT</t>
  </si>
  <si>
    <t>Property &amp; Casualty Insurance</t>
  </si>
  <si>
    <t>Campus Beautification</t>
  </si>
  <si>
    <t>College of Arts, Humanities &amp; Social Science Reserve - Lect./Sum School</t>
  </si>
  <si>
    <t>DUDOICH, ALICE D.</t>
  </si>
  <si>
    <t>LAWRENCE, TAMMY A.</t>
  </si>
  <si>
    <t>MOORE, ROBERTA M.</t>
  </si>
  <si>
    <t>RESEARCH - MAZUMDER</t>
  </si>
  <si>
    <t>RADIO MAINTENANCE</t>
  </si>
  <si>
    <t>TRAINING</t>
  </si>
  <si>
    <t>Student Bar Association</t>
  </si>
  <si>
    <t>WAYNE, JOHN B.</t>
  </si>
  <si>
    <t>BROWN, VALERIE W.</t>
  </si>
  <si>
    <t>Institute for Economic Advancement - Research</t>
  </si>
  <si>
    <t>SHELNUTT, JOHN P.</t>
  </si>
  <si>
    <t>HAMILTON, GREG</t>
  </si>
  <si>
    <t>BANKS-MONTMINY, LAURIE</t>
  </si>
  <si>
    <t>LONG, ROBERT</t>
  </si>
  <si>
    <t>NEESE, TERESA R.</t>
  </si>
  <si>
    <t xml:space="preserve">ACCOUNTING SUPERVISOR II </t>
  </si>
  <si>
    <t>BROWN, ANN L.</t>
  </si>
  <si>
    <t>ACCOUNTING SUPERVISOR II</t>
  </si>
  <si>
    <t>STEINSIEK, JEAN A.</t>
  </si>
  <si>
    <t>PROFFITT, LESLIE K.</t>
  </si>
  <si>
    <t>DRILLING, CATHERINE C.</t>
  </si>
  <si>
    <t>DUPREE, LANA K.</t>
  </si>
  <si>
    <t>ABERNATHY, JANAN M.</t>
  </si>
  <si>
    <t>PRINCE, BENNIE F.</t>
  </si>
  <si>
    <t>ADJUNCT LECTURER</t>
  </si>
  <si>
    <t>67028B</t>
  </si>
  <si>
    <t>55028B</t>
  </si>
  <si>
    <t>Cooperative Education</t>
  </si>
  <si>
    <t>MASON JR, JESSE W.</t>
  </si>
  <si>
    <t>MYERS, PAUL M.</t>
  </si>
  <si>
    <t>COLLINS, PENNY M.</t>
  </si>
  <si>
    <t>55029B</t>
  </si>
  <si>
    <t>Provost's Reserve</t>
  </si>
  <si>
    <t>55030B</t>
  </si>
  <si>
    <t>INSTRUCTIONAL RESERVE</t>
  </si>
  <si>
    <t>66030B</t>
  </si>
  <si>
    <t>Early Retirement</t>
  </si>
  <si>
    <t>LEDBETTER JR., C.R.</t>
  </si>
  <si>
    <t>Speech Communication Lab Fee</t>
  </si>
  <si>
    <t>Audiology and Speech Pathology</t>
  </si>
  <si>
    <t>KEISER, HOPE</t>
  </si>
  <si>
    <t>WEATHERTON, MAURICE A.</t>
  </si>
  <si>
    <t>HE PUBLIC SAFETY OFFICER I</t>
  </si>
  <si>
    <t>55024B</t>
  </si>
  <si>
    <t>99224B</t>
  </si>
  <si>
    <t>66024B</t>
  </si>
  <si>
    <t>67024B</t>
  </si>
  <si>
    <t>School of Law - Indirect Costs</t>
  </si>
  <si>
    <t>INDIRECT COSTS</t>
  </si>
  <si>
    <t>Leisure Science</t>
  </si>
  <si>
    <t>COPELAND, NITA</t>
  </si>
  <si>
    <t>COMPUTER FEE ALLOCATION</t>
  </si>
  <si>
    <t>EQUIPMENT REPLACEMENT</t>
  </si>
  <si>
    <t>College of Business Administration Reserve - Lecturer/Summer School</t>
  </si>
  <si>
    <t>COLLEGE LECTURER FUND</t>
  </si>
  <si>
    <t>R99945</t>
  </si>
  <si>
    <t>R99944</t>
  </si>
  <si>
    <t>R99943</t>
  </si>
  <si>
    <t>R99942</t>
  </si>
  <si>
    <t>R99941</t>
  </si>
  <si>
    <t>R99940</t>
  </si>
  <si>
    <t>R99939</t>
  </si>
  <si>
    <t>R99938</t>
  </si>
  <si>
    <t>R99937</t>
  </si>
  <si>
    <t>R99936</t>
  </si>
  <si>
    <t>R99935</t>
  </si>
  <si>
    <t>R99934</t>
  </si>
  <si>
    <t>R99933</t>
  </si>
  <si>
    <t>R99932</t>
  </si>
  <si>
    <t>R99931</t>
  </si>
  <si>
    <t>R99930</t>
  </si>
  <si>
    <t>R99929</t>
  </si>
  <si>
    <t>R99928</t>
  </si>
  <si>
    <t>R99927</t>
  </si>
  <si>
    <t>R99926</t>
  </si>
  <si>
    <t>R99925</t>
  </si>
  <si>
    <t>R99924</t>
  </si>
  <si>
    <t>R99923</t>
  </si>
  <si>
    <t>R99922</t>
  </si>
  <si>
    <t>R99921</t>
  </si>
  <si>
    <t>R99920</t>
  </si>
  <si>
    <t>R99919</t>
  </si>
  <si>
    <t>R99918</t>
  </si>
  <si>
    <t>R99917</t>
  </si>
  <si>
    <t>R99916</t>
  </si>
  <si>
    <t>R99915</t>
  </si>
  <si>
    <t>R99914</t>
  </si>
  <si>
    <t>R99913</t>
  </si>
  <si>
    <t>R99912</t>
  </si>
  <si>
    <t>R99911</t>
  </si>
  <si>
    <t>R99910</t>
  </si>
  <si>
    <t>R99909</t>
  </si>
  <si>
    <t>R99908</t>
  </si>
  <si>
    <t>R99907</t>
  </si>
  <si>
    <t>R99906</t>
  </si>
  <si>
    <t>R99905</t>
  </si>
  <si>
    <t>R99904</t>
  </si>
  <si>
    <t>R99903</t>
  </si>
  <si>
    <t>R99902</t>
  </si>
  <si>
    <t>R99901</t>
  </si>
  <si>
    <t>R99900</t>
  </si>
  <si>
    <t>R99899</t>
  </si>
  <si>
    <t>R99898</t>
  </si>
  <si>
    <t>R99897</t>
  </si>
  <si>
    <t>R99896</t>
  </si>
  <si>
    <t>R99895</t>
  </si>
  <si>
    <t>R99894</t>
  </si>
  <si>
    <t>R99893</t>
  </si>
  <si>
    <t>R99892</t>
  </si>
  <si>
    <t>R99891</t>
  </si>
  <si>
    <t>R99890</t>
  </si>
  <si>
    <t>R99889</t>
  </si>
  <si>
    <t>R99888</t>
  </si>
  <si>
    <t>R99887</t>
  </si>
  <si>
    <t>R99886</t>
  </si>
  <si>
    <t>R99885</t>
  </si>
  <si>
    <t>R99884</t>
  </si>
  <si>
    <t>R99883</t>
  </si>
  <si>
    <t>R99882</t>
  </si>
  <si>
    <t>R99881</t>
  </si>
  <si>
    <t>R99880</t>
  </si>
  <si>
    <t>R99879</t>
  </si>
  <si>
    <t>R99878</t>
  </si>
  <si>
    <t>R99877</t>
  </si>
  <si>
    <t>R99876</t>
  </si>
  <si>
    <t>R99875</t>
  </si>
  <si>
    <t>R99874</t>
  </si>
  <si>
    <t>R99873</t>
  </si>
  <si>
    <t>R99872</t>
  </si>
  <si>
    <t>R99871</t>
  </si>
  <si>
    <t>R99870</t>
  </si>
  <si>
    <t>R99869</t>
  </si>
  <si>
    <t>R99868</t>
  </si>
  <si>
    <t>R99867</t>
  </si>
  <si>
    <t>R99866</t>
  </si>
  <si>
    <t>R99865</t>
  </si>
  <si>
    <t>R99864</t>
  </si>
  <si>
    <t>R99863</t>
  </si>
  <si>
    <t>R99862</t>
  </si>
  <si>
    <t>R99861</t>
  </si>
  <si>
    <t>R99860</t>
  </si>
  <si>
    <t>R99859</t>
  </si>
  <si>
    <t>R99858</t>
  </si>
  <si>
    <t>R99857</t>
  </si>
  <si>
    <t>R99856</t>
  </si>
  <si>
    <t>R99855</t>
  </si>
  <si>
    <t>R99854</t>
  </si>
  <si>
    <t>R99853</t>
  </si>
  <si>
    <t>R99852</t>
  </si>
  <si>
    <t>R99851</t>
  </si>
  <si>
    <t>R99850</t>
  </si>
  <si>
    <t>R99849</t>
  </si>
  <si>
    <t>R99848</t>
  </si>
  <si>
    <t>R99847</t>
  </si>
  <si>
    <t>R99846</t>
  </si>
  <si>
    <t>R99845</t>
  </si>
  <si>
    <t>R99844</t>
  </si>
  <si>
    <t>R99843</t>
  </si>
  <si>
    <t>R99842</t>
  </si>
  <si>
    <t>R99841</t>
  </si>
  <si>
    <t>R99840</t>
  </si>
  <si>
    <t>R99839</t>
  </si>
  <si>
    <t>R99838</t>
  </si>
  <si>
    <t>R99837</t>
  </si>
  <si>
    <t>R99836</t>
  </si>
  <si>
    <t>R99835</t>
  </si>
  <si>
    <t>R99834</t>
  </si>
  <si>
    <t>R99833</t>
  </si>
  <si>
    <t>R99832</t>
  </si>
  <si>
    <t>R99831</t>
  </si>
  <si>
    <t>MULLER, ANDREAS</t>
  </si>
  <si>
    <t>BAKER, JR., JOHN A.</t>
  </si>
  <si>
    <t>MURRAY, DOUGLAS R.</t>
  </si>
  <si>
    <t>JOHNSON, PAUL W.</t>
  </si>
  <si>
    <t>SENNER, JOHN W.</t>
  </si>
  <si>
    <t>College of Professional Studies Reserve - Lecturer/Summer School</t>
  </si>
  <si>
    <t>Teacher Education</t>
  </si>
  <si>
    <t>GEIGER, WILLIAM L.</t>
  </si>
  <si>
    <t>HENSLEE, K. L.</t>
  </si>
  <si>
    <t>RITTENHOUSE, ROBERT K.</t>
  </si>
  <si>
    <t>ROBINSON, ANN E.</t>
  </si>
  <si>
    <t>TEETER, THOMAS A.</t>
  </si>
  <si>
    <t>SNELSON, CAROL D.</t>
  </si>
  <si>
    <t>HEATHERLY, A L.</t>
  </si>
  <si>
    <t>HENDRICKS, MARY D.</t>
  </si>
  <si>
    <t>JOHNS, ROBERT W.</t>
  </si>
  <si>
    <t>PRENTICE, MARY</t>
  </si>
  <si>
    <t>DOKES, MARION A.</t>
  </si>
  <si>
    <t>700000</t>
  </si>
  <si>
    <t>410000</t>
  </si>
  <si>
    <t>220100</t>
  </si>
  <si>
    <t>660000</t>
  </si>
  <si>
    <t>120000</t>
  </si>
  <si>
    <t>320100</t>
  </si>
  <si>
    <t>330200</t>
  </si>
  <si>
    <t>330100</t>
  </si>
  <si>
    <t>520000</t>
  </si>
  <si>
    <t>320500</t>
  </si>
  <si>
    <t>320200</t>
  </si>
  <si>
    <t>510100</t>
  </si>
  <si>
    <t>510011</t>
  </si>
  <si>
    <t>440100</t>
  </si>
  <si>
    <t>440000</t>
  </si>
  <si>
    <t>210000</t>
  </si>
  <si>
    <t>220000</t>
  </si>
  <si>
    <t>230000</t>
  </si>
  <si>
    <t>230110</t>
  </si>
  <si>
    <t>240300</t>
  </si>
  <si>
    <t>240500</t>
  </si>
  <si>
    <t>230150</t>
  </si>
  <si>
    <t>240100</t>
  </si>
  <si>
    <t>220300</t>
  </si>
  <si>
    <t>230400</t>
  </si>
  <si>
    <t>230200</t>
  </si>
  <si>
    <t>710000</t>
  </si>
  <si>
    <t>730300</t>
  </si>
  <si>
    <t>620100</t>
  </si>
  <si>
    <t>640100</t>
  </si>
  <si>
    <t>630100</t>
  </si>
  <si>
    <t>610100</t>
  </si>
  <si>
    <t>610000</t>
  </si>
  <si>
    <t>730100</t>
  </si>
  <si>
    <t>730000</t>
  </si>
  <si>
    <t>660100</t>
  </si>
  <si>
    <t>650100</t>
  </si>
  <si>
    <t>720000</t>
  </si>
  <si>
    <t>740000</t>
  </si>
  <si>
    <t>Health Services Administration</t>
  </si>
  <si>
    <t>ELECTRON MICROSCOPE MAINT.</t>
  </si>
  <si>
    <t>Graduate Assistants</t>
  </si>
  <si>
    <t>59054B</t>
  </si>
  <si>
    <t>GRADUATE ASSISTANT STIPENDS</t>
  </si>
  <si>
    <t>55054B</t>
  </si>
  <si>
    <t>Office of Research and Sponsored Programs</t>
  </si>
  <si>
    <t>ASSOCIATE DIRECTOR ORSP</t>
  </si>
  <si>
    <t>KAUFMAN, SHARON E.</t>
  </si>
  <si>
    <t>WILLIS, ANGELA E.</t>
  </si>
  <si>
    <t>99255B</t>
  </si>
  <si>
    <t>55055B</t>
  </si>
  <si>
    <t>Office of Research and Sponsored Programs - Support Fund</t>
  </si>
  <si>
    <t>Office of Research and Sponsored Programs - Research Support</t>
  </si>
  <si>
    <t>RESEARCH - CHAMBERLIN</t>
  </si>
  <si>
    <t>Art</t>
  </si>
  <si>
    <t>BROWN, JANE H.</t>
  </si>
  <si>
    <t>CAWOOD, GARY K.</t>
  </si>
  <si>
    <t>HOLDER, KATHLEEN A.</t>
  </si>
  <si>
    <t>MANTLE, ERIC R.</t>
  </si>
  <si>
    <t>MARTIN, FLOYD W.</t>
  </si>
  <si>
    <t>SMITH, A.J.</t>
  </si>
  <si>
    <t>KESSLER, WARREN H.</t>
  </si>
  <si>
    <t>BOAZ, MARY C.</t>
  </si>
  <si>
    <t>DIRECTOR OF DEVELOPMENT</t>
  </si>
  <si>
    <t>COVINGTON, LEE G.</t>
  </si>
  <si>
    <t>DERMOTT, MARIA P.</t>
  </si>
  <si>
    <t>SCHOLARSHIP RESERVE</t>
  </si>
  <si>
    <t>HENNING, SABINE</t>
  </si>
  <si>
    <t>MCLENDON, TERESA A.</t>
  </si>
  <si>
    <t>ASST DIR COMP SVCS  III - I</t>
  </si>
  <si>
    <t>SYSTEMS ANALYST III - INST</t>
  </si>
  <si>
    <t>BALDWIN, DEBORAH J.</t>
  </si>
  <si>
    <t>MUSUN-MILLER, LINDA</t>
  </si>
  <si>
    <t>MATHIS, MALISSA K.</t>
  </si>
  <si>
    <t>Scholarships - Entering Scholarships</t>
  </si>
  <si>
    <t>ENTERING SCHOLARSHIPS</t>
  </si>
  <si>
    <t>Scholarships - Book Stipends</t>
  </si>
  <si>
    <t>BOOK STIPENDS</t>
  </si>
  <si>
    <t>Scholarships - Donaghey Scholars</t>
  </si>
  <si>
    <t>DONAGHEY SCHOLARS</t>
  </si>
  <si>
    <t>Scholarships - Arts Grants-in-Aid</t>
  </si>
  <si>
    <t>ARTS GRANTS-IN-AID</t>
  </si>
  <si>
    <t>ASSOCIATE PROFESSOR</t>
  </si>
  <si>
    <t>AYERS, JACKLYN A.</t>
  </si>
  <si>
    <t>Scholars Program</t>
  </si>
  <si>
    <t>RAMSEY, CLIFFORD E.</t>
  </si>
  <si>
    <t>MOSS, JEANNIE</t>
  </si>
  <si>
    <t>HUTCHINS, DARRELL K.</t>
  </si>
  <si>
    <t>HOOD, WILLIAM G.</t>
  </si>
  <si>
    <t>LOIZOU, PHILIPOS C.</t>
  </si>
  <si>
    <t>WRIGHT, ANDREW B.</t>
  </si>
  <si>
    <t>WILSON, JAMES D.</t>
  </si>
  <si>
    <t>Marketing and Advertising</t>
  </si>
  <si>
    <t>RUCKS JR, CONWAY T.</t>
  </si>
  <si>
    <t>Educational Leadership - Computer Lab</t>
  </si>
  <si>
    <t>Center for Research on Teaching &amp; Learning</t>
  </si>
  <si>
    <t>55064B</t>
  </si>
  <si>
    <t>Arkansas Small Business Development Center</t>
  </si>
  <si>
    <t>NYE, JANET M.</t>
  </si>
  <si>
    <t>REDDITT, VICTOR E.</t>
  </si>
  <si>
    <t>EVANS, RICHARD</t>
  </si>
  <si>
    <t>PENQUITE, ROBERT D.</t>
  </si>
  <si>
    <t>FINE, LAURA C.</t>
  </si>
  <si>
    <t>HARRISON, JOHN H.</t>
  </si>
  <si>
    <t>HOLLEY, MILDRED</t>
  </si>
  <si>
    <t>FROTHINGHAM, THOMAS</t>
  </si>
  <si>
    <t>FISHER, JOHN</t>
  </si>
  <si>
    <t>WAIT, TERESA J.</t>
  </si>
  <si>
    <t>RAINS, PARTICIA</t>
  </si>
  <si>
    <t>PROFESSOR LAW / ASSOC. DEAN</t>
  </si>
  <si>
    <t xml:space="preserve">RESEARCH ASSISTANT / EXEC ASSIST TO THE </t>
  </si>
  <si>
    <t>DEAN FOR ADVANCEMENT</t>
  </si>
  <si>
    <t xml:space="preserve">DRUMBL, MARK A. </t>
  </si>
  <si>
    <t>HOLLINGSWORTH, JAMI</t>
  </si>
  <si>
    <t>JAMES, RAPHAEL A.</t>
  </si>
  <si>
    <t>BERRY, ANITA J.</t>
  </si>
  <si>
    <t>PALMER, KAREN L.</t>
  </si>
  <si>
    <t>Sign Language Lab</t>
  </si>
  <si>
    <t>LECTURER SALARY RESERVE</t>
  </si>
  <si>
    <t xml:space="preserve">EXTRA LABOR </t>
  </si>
  <si>
    <t>WRITING CENTER</t>
  </si>
  <si>
    <t>DEVELOPMENTAL LAB</t>
  </si>
  <si>
    <t>KLEINE, MICHAEL</t>
  </si>
  <si>
    <t>ANDERSON, CHARLES M.</t>
  </si>
  <si>
    <t>HERRMANN, ANDREA W.</t>
  </si>
  <si>
    <t>ARNOLD, M.H.</t>
  </si>
  <si>
    <t>FERGANCHICK-NEUFANG, J.</t>
  </si>
  <si>
    <t>L'EPLATTENIER, BARBARA</t>
  </si>
  <si>
    <t>BARR, SUZANN W.</t>
  </si>
  <si>
    <t>CHADWICK, FRANKIE L.</t>
  </si>
  <si>
    <t>CRISP, HUEY D.</t>
  </si>
  <si>
    <t>TILLMAN, PHILLIP H.</t>
  </si>
  <si>
    <t>99282B</t>
  </si>
  <si>
    <t>55082B</t>
  </si>
  <si>
    <t>Physical Plant - Electrical</t>
  </si>
  <si>
    <t>MILLER, MICHAEL M.</t>
  </si>
  <si>
    <t>ELECTRICIAN SUPERVISOR</t>
  </si>
  <si>
    <t>GARRETSON, DONALD R.</t>
  </si>
  <si>
    <t>JOURNEYMAN ELECTRICIAN</t>
  </si>
  <si>
    <t>HY, STAR A.</t>
  </si>
  <si>
    <t>TALLEY, JACQUELINE</t>
  </si>
  <si>
    <t>55061B</t>
  </si>
  <si>
    <t>99261B</t>
  </si>
  <si>
    <t>66061B</t>
  </si>
  <si>
    <t>DILBECK, DEBRA K.</t>
  </si>
  <si>
    <t>JONES III, LON</t>
  </si>
  <si>
    <t>WILLIAMS, BRAD L.</t>
  </si>
  <si>
    <t>ANDREWS, REGINALD E.</t>
  </si>
  <si>
    <t>BOLTON, SHELLEY J.</t>
  </si>
  <si>
    <t>BOWLES, SHARON L.</t>
  </si>
  <si>
    <t>BOYETT, FRANKLIN D.</t>
  </si>
  <si>
    <t>CHATMON, INETTE</t>
  </si>
  <si>
    <t>FORD, HERMAN L.</t>
  </si>
  <si>
    <t>BEAUMONT, WILLIAM E.</t>
  </si>
  <si>
    <t>HUNT, DAVID A.</t>
  </si>
  <si>
    <t>PARKER, WILSON R.</t>
  </si>
  <si>
    <t>REARDON, WILLIAM C.</t>
  </si>
  <si>
    <t>SMITH, JOHNNY D.</t>
  </si>
  <si>
    <t>R99297</t>
  </si>
  <si>
    <t>R99296</t>
  </si>
  <si>
    <t>R99295</t>
  </si>
  <si>
    <t>R99294</t>
  </si>
  <si>
    <t>R99293</t>
  </si>
  <si>
    <t>R99292</t>
  </si>
  <si>
    <t>R99291</t>
  </si>
  <si>
    <t>R99290</t>
  </si>
  <si>
    <t>R99289</t>
  </si>
  <si>
    <t>R99288</t>
  </si>
  <si>
    <t>R99287</t>
  </si>
  <si>
    <t>R99286</t>
  </si>
  <si>
    <t>R99285</t>
  </si>
  <si>
    <t>R99284</t>
  </si>
  <si>
    <t>R99283</t>
  </si>
  <si>
    <t>R99282</t>
  </si>
  <si>
    <t>R99281</t>
  </si>
  <si>
    <t>R99280</t>
  </si>
  <si>
    <t>R99279</t>
  </si>
  <si>
    <t>R99278</t>
  </si>
  <si>
    <t>R99277</t>
  </si>
  <si>
    <t>R99276</t>
  </si>
  <si>
    <t>R99275</t>
  </si>
  <si>
    <t>R99274</t>
  </si>
  <si>
    <t>R99273</t>
  </si>
  <si>
    <t>R99272</t>
  </si>
  <si>
    <t>R99271</t>
  </si>
  <si>
    <t>R99270</t>
  </si>
  <si>
    <t>R99269</t>
  </si>
  <si>
    <t>R99268</t>
  </si>
  <si>
    <t>R99267</t>
  </si>
  <si>
    <t>R99266</t>
  </si>
  <si>
    <t>R99265</t>
  </si>
  <si>
    <t>R99264</t>
  </si>
  <si>
    <t>R99263</t>
  </si>
  <si>
    <t>R99262</t>
  </si>
  <si>
    <t>R99261</t>
  </si>
  <si>
    <t>R99260</t>
  </si>
  <si>
    <t>R99259</t>
  </si>
  <si>
    <t>R99258</t>
  </si>
  <si>
    <t>R99257</t>
  </si>
  <si>
    <t>R99256</t>
  </si>
  <si>
    <t>R99255</t>
  </si>
  <si>
    <t>R99254</t>
  </si>
  <si>
    <t>R99253</t>
  </si>
  <si>
    <t>R99252</t>
  </si>
  <si>
    <t>R99251</t>
  </si>
  <si>
    <t>R99250</t>
  </si>
  <si>
    <t>R99249</t>
  </si>
  <si>
    <t>R99248</t>
  </si>
  <si>
    <t>R99247</t>
  </si>
  <si>
    <t>R99246</t>
  </si>
  <si>
    <t>R99245</t>
  </si>
  <si>
    <t>R99244</t>
  </si>
  <si>
    <t>R99243</t>
  </si>
  <si>
    <t>R99242</t>
  </si>
  <si>
    <t>R99241</t>
  </si>
  <si>
    <t>R99240</t>
  </si>
  <si>
    <t>R99239</t>
  </si>
  <si>
    <t>R99238</t>
  </si>
  <si>
    <t>R99237</t>
  </si>
  <si>
    <t>R99236</t>
  </si>
  <si>
    <t>R99235</t>
  </si>
  <si>
    <t>R99234</t>
  </si>
  <si>
    <t>R99233</t>
  </si>
  <si>
    <t>R99232</t>
  </si>
  <si>
    <t>R99231</t>
  </si>
  <si>
    <t>R99230</t>
  </si>
  <si>
    <t>R99229</t>
  </si>
  <si>
    <t>R99227</t>
  </si>
  <si>
    <t>R99226</t>
  </si>
  <si>
    <t>R99225</t>
  </si>
  <si>
    <t>R99224</t>
  </si>
  <si>
    <t>R99223</t>
  </si>
  <si>
    <t>R99222</t>
  </si>
  <si>
    <t>R99221</t>
  </si>
  <si>
    <t>R99220</t>
  </si>
  <si>
    <t>R99219</t>
  </si>
  <si>
    <t>R99218</t>
  </si>
  <si>
    <t>R99217</t>
  </si>
  <si>
    <t>R99216</t>
  </si>
  <si>
    <t>R99215</t>
  </si>
  <si>
    <t>R99214</t>
  </si>
  <si>
    <t>R99213</t>
  </si>
  <si>
    <t>R99212</t>
  </si>
  <si>
    <t>R99211</t>
  </si>
  <si>
    <t>R99210</t>
  </si>
  <si>
    <t>R99209</t>
  </si>
  <si>
    <t>R99208</t>
  </si>
  <si>
    <t>R99207</t>
  </si>
  <si>
    <t>R99206</t>
  </si>
  <si>
    <t>R99205</t>
  </si>
  <si>
    <t>R99204</t>
  </si>
  <si>
    <t>R99203</t>
  </si>
  <si>
    <t>R99202</t>
  </si>
  <si>
    <t>R99201</t>
  </si>
  <si>
    <t>R99200</t>
  </si>
  <si>
    <t>R99199</t>
  </si>
  <si>
    <t>R99198</t>
  </si>
  <si>
    <t>R99197</t>
  </si>
  <si>
    <t>R99196</t>
  </si>
  <si>
    <t>R99195</t>
  </si>
  <si>
    <t>R99194</t>
  </si>
  <si>
    <t>R99193</t>
  </si>
  <si>
    <t>R99192</t>
  </si>
  <si>
    <t>R99191</t>
  </si>
  <si>
    <t>R99190</t>
  </si>
  <si>
    <t>R99189</t>
  </si>
  <si>
    <t>R99188</t>
  </si>
  <si>
    <t>R99187</t>
  </si>
  <si>
    <t>R99186</t>
  </si>
  <si>
    <t>R99185</t>
  </si>
  <si>
    <t>R99184</t>
  </si>
  <si>
    <t>R99183</t>
  </si>
  <si>
    <t>R99182</t>
  </si>
  <si>
    <t>R99181</t>
  </si>
  <si>
    <t>R99180</t>
  </si>
  <si>
    <t>R99179</t>
  </si>
  <si>
    <t>R99178</t>
  </si>
  <si>
    <t>R99177</t>
  </si>
  <si>
    <t>R99176</t>
  </si>
  <si>
    <t>R99175</t>
  </si>
  <si>
    <t>R99174</t>
  </si>
  <si>
    <t>R99173</t>
  </si>
  <si>
    <t>R99172</t>
  </si>
  <si>
    <t>R99171</t>
  </si>
  <si>
    <t>R99170</t>
  </si>
  <si>
    <t>R99169</t>
  </si>
  <si>
    <t>R99168</t>
  </si>
  <si>
    <t>R99167</t>
  </si>
  <si>
    <t>R99166</t>
  </si>
  <si>
    <t>R99165</t>
  </si>
  <si>
    <t>R99164</t>
  </si>
  <si>
    <t>R99163</t>
  </si>
  <si>
    <t>R99162</t>
  </si>
  <si>
    <t>R99161</t>
  </si>
  <si>
    <t>R99160</t>
  </si>
  <si>
    <t>R99159</t>
  </si>
  <si>
    <t>R99158</t>
  </si>
  <si>
    <t>R99157</t>
  </si>
  <si>
    <t>DIR/UNIV SCHOLARS PROGRAM</t>
  </si>
  <si>
    <t>LIBRARIAN</t>
  </si>
  <si>
    <t xml:space="preserve">LIBRARIAN </t>
  </si>
  <si>
    <t xml:space="preserve">RESEARCH ASSISTANT </t>
  </si>
  <si>
    <t>COMPUTER TECHNICIAN I - IN</t>
  </si>
  <si>
    <t>MULTI MEDIA TECH/CONTR II</t>
  </si>
  <si>
    <t>ASST LAB ANIMAL TECHNICAN</t>
  </si>
  <si>
    <t>HAWKINS, KYLEEN</t>
  </si>
  <si>
    <t>630311</t>
  </si>
  <si>
    <t>FINANCIAL AID OFFICER II</t>
  </si>
  <si>
    <t>WALLACE, LYNDA J.</t>
  </si>
  <si>
    <t>BERRY, AVA C.</t>
  </si>
  <si>
    <t>Health Services</t>
  </si>
  <si>
    <t>ROBINSON III, GEORGE</t>
  </si>
  <si>
    <t>HAMPTON, LOGAN</t>
  </si>
  <si>
    <t>HONDA, GORDON</t>
  </si>
  <si>
    <t>BROWN, OLIVER</t>
  </si>
  <si>
    <t>SCHUYLER, DAIMON</t>
  </si>
  <si>
    <t>RECREATIONAL COORDINATOR</t>
  </si>
  <si>
    <t>DEDNER, BILLY R.</t>
  </si>
  <si>
    <t>HANSON, MARLENA D.</t>
  </si>
  <si>
    <t>LAM, PHENG S.</t>
  </si>
  <si>
    <t>Engineering Technology Lab</t>
  </si>
  <si>
    <t>BLEVINS, DAVID E.</t>
  </si>
  <si>
    <t>YERGER, JOHN A.</t>
  </si>
  <si>
    <t>ELEY, JOHN R.</t>
  </si>
  <si>
    <t>GRAUER, ALBERT D.</t>
  </si>
  <si>
    <t>WOLD, D.C.</t>
  </si>
  <si>
    <t>WILLIAMS, JOHN O.</t>
  </si>
  <si>
    <t>CRAWSHAW, S.A.</t>
  </si>
  <si>
    <t>DAVIS, STEVEN D.</t>
  </si>
  <si>
    <t>College of Arts, Humanities and Social Science - Westark</t>
  </si>
  <si>
    <t xml:space="preserve">BUKENHOFER, FLORITA M. </t>
  </si>
  <si>
    <t>RUBARTH, CLARA JANE</t>
  </si>
  <si>
    <t>MONTAGUE JR, JIM C.</t>
  </si>
  <si>
    <t>DANCER, JESSE E.</t>
  </si>
  <si>
    <t>DAVIS, PRISCILLA N.</t>
  </si>
  <si>
    <t>FULLER, DONALD R.</t>
  </si>
  <si>
    <t>ZRAICK, RICHARD I.</t>
  </si>
  <si>
    <t>EATON, ELIZABETH B.</t>
  </si>
  <si>
    <t>PORCH, LILLIAN L.</t>
  </si>
  <si>
    <t>SALARY RESERVE FOR INSTRUCTORS</t>
  </si>
  <si>
    <t>Audiology and Speech Pathology Lab</t>
  </si>
  <si>
    <t>Criminal Justice</t>
  </si>
  <si>
    <t>PARKER, MARY L.</t>
  </si>
  <si>
    <t>CHASTAIN, CHARLES D.</t>
  </si>
  <si>
    <t>WALKER, JEFFERY T.</t>
  </si>
  <si>
    <t>GOLDEN, JAMES</t>
  </si>
  <si>
    <t>LAUFERSWEILER-DWYER, D.</t>
  </si>
  <si>
    <t>PATENAUDE, ALLAN</t>
  </si>
  <si>
    <t>BROWN, TONI R.</t>
  </si>
  <si>
    <t>R99999</t>
  </si>
  <si>
    <t>R99998</t>
  </si>
  <si>
    <t>R99997</t>
  </si>
  <si>
    <t>R99996</t>
  </si>
  <si>
    <t>R99995</t>
  </si>
  <si>
    <t>R99994</t>
  </si>
  <si>
    <t>R99993</t>
  </si>
  <si>
    <t>R99992</t>
  </si>
  <si>
    <t>R99991</t>
  </si>
  <si>
    <t>R99990</t>
  </si>
  <si>
    <t>R99989</t>
  </si>
  <si>
    <t>R99988</t>
  </si>
  <si>
    <t>R99987</t>
  </si>
  <si>
    <t>R99986</t>
  </si>
  <si>
    <t>R99985</t>
  </si>
  <si>
    <t>R99984</t>
  </si>
  <si>
    <t>R99983</t>
  </si>
  <si>
    <t>R99982</t>
  </si>
  <si>
    <t>R99981</t>
  </si>
  <si>
    <t>R99980</t>
  </si>
  <si>
    <t>R99979</t>
  </si>
  <si>
    <t>R99978</t>
  </si>
  <si>
    <t>R99977</t>
  </si>
  <si>
    <t>R99976</t>
  </si>
  <si>
    <t>R99975</t>
  </si>
  <si>
    <t>R99974</t>
  </si>
  <si>
    <t>R99973</t>
  </si>
  <si>
    <t>R99972</t>
  </si>
  <si>
    <t>R99971</t>
  </si>
  <si>
    <t>R99970</t>
  </si>
  <si>
    <t>R99969</t>
  </si>
  <si>
    <t>R99968</t>
  </si>
  <si>
    <t>R99967</t>
  </si>
  <si>
    <t>R99966</t>
  </si>
  <si>
    <t>R99965</t>
  </si>
  <si>
    <t>R99964</t>
  </si>
  <si>
    <t>R99963</t>
  </si>
  <si>
    <t>R99962</t>
  </si>
  <si>
    <t>R99961</t>
  </si>
  <si>
    <t>R99960</t>
  </si>
  <si>
    <t>R99959</t>
  </si>
  <si>
    <t>R99958</t>
  </si>
  <si>
    <t>R99957</t>
  </si>
  <si>
    <t>R99956</t>
  </si>
  <si>
    <t>R99955</t>
  </si>
  <si>
    <t>R99954</t>
  </si>
  <si>
    <t>R99953</t>
  </si>
  <si>
    <t>R99952</t>
  </si>
  <si>
    <t>R99951</t>
  </si>
  <si>
    <t>R99950</t>
  </si>
  <si>
    <t>R99949</t>
  </si>
  <si>
    <t>R99948</t>
  </si>
  <si>
    <t>R99947</t>
  </si>
  <si>
    <t>R99946</t>
  </si>
  <si>
    <t>HUMBLE, PAMELA S.</t>
  </si>
  <si>
    <t>O'MARRA, BRIAN T.</t>
  </si>
  <si>
    <t>PALINSKI, JULIAN</t>
  </si>
  <si>
    <t>DOBBINS, JEFF</t>
  </si>
  <si>
    <t>WILLIAMS, LAMONT J.</t>
  </si>
  <si>
    <t>WILKERSON, WESLEY G.</t>
  </si>
  <si>
    <t>ROETZEL, DAVID  L.</t>
  </si>
  <si>
    <t>SCOTT, COY L.</t>
  </si>
  <si>
    <t>BARTHOL, JOHN M.</t>
  </si>
  <si>
    <t>SYSTEMS PROGRAMER II - INST</t>
  </si>
  <si>
    <t>DAVIS, EARL</t>
  </si>
  <si>
    <t>DP NETWORK TECH II - INST</t>
  </si>
  <si>
    <t>ADKINS, LESLIE L.</t>
  </si>
  <si>
    <t>COOK, JANICE A.</t>
  </si>
  <si>
    <t>JACKSON, JULIUS J.</t>
  </si>
  <si>
    <t>TRAYLOR, JULIE A.</t>
  </si>
  <si>
    <t>FARR-ONUORA, CAROLYN</t>
  </si>
  <si>
    <t>99262B</t>
  </si>
  <si>
    <t>55062B</t>
  </si>
  <si>
    <t>Institute of Government</t>
  </si>
  <si>
    <t>99263B</t>
  </si>
  <si>
    <t>55063B</t>
  </si>
  <si>
    <t>Institute for Economic Advancement - Library</t>
  </si>
  <si>
    <t>LIBRARY MAINTENANCE</t>
  </si>
  <si>
    <t>Institute for Economic Advancement - Census State Data Center</t>
  </si>
  <si>
    <t>BRESHEARS, SARAH G.</t>
  </si>
  <si>
    <t>SMITH, PHYLLIS N.</t>
  </si>
  <si>
    <t>BELL, JERRY L.</t>
  </si>
  <si>
    <t>MCFARLAND, MARY E.</t>
  </si>
  <si>
    <t>DAHLSTROM, SHERRYL M.</t>
  </si>
  <si>
    <t>HASSELL, LYNDA SUE</t>
  </si>
  <si>
    <t>EXTENSION ASSISTANT</t>
  </si>
  <si>
    <t>TURNER-DOOLEY, JANET</t>
  </si>
  <si>
    <t>99264B</t>
  </si>
  <si>
    <t>BLAYLOCK, BARBARA</t>
  </si>
  <si>
    <t>INSTRUMENTATION TECH II</t>
  </si>
  <si>
    <t>LEMONS, GARRY W.</t>
  </si>
  <si>
    <t>COMPUTER TECHNICIAN I- INST</t>
  </si>
  <si>
    <t>WILKERSON, CLYDE</t>
  </si>
  <si>
    <t>COMPUTER TECHNICIAN II - INST</t>
  </si>
  <si>
    <t>Distance Learning</t>
  </si>
  <si>
    <t>P99984</t>
  </si>
  <si>
    <t>P99983</t>
  </si>
  <si>
    <t>P99982</t>
  </si>
  <si>
    <t>P99981</t>
  </si>
  <si>
    <t>P99980</t>
  </si>
  <si>
    <t>P99979</t>
  </si>
  <si>
    <t>P99978</t>
  </si>
  <si>
    <t>P99977</t>
  </si>
  <si>
    <t>P99976</t>
  </si>
  <si>
    <t>P99975</t>
  </si>
  <si>
    <t>P99974</t>
  </si>
  <si>
    <t>P99973</t>
  </si>
  <si>
    <t>P99972</t>
  </si>
  <si>
    <t>P99971</t>
  </si>
  <si>
    <t>P99970</t>
  </si>
  <si>
    <t>P99969</t>
  </si>
  <si>
    <t>P99968</t>
  </si>
  <si>
    <t>P99967</t>
  </si>
  <si>
    <t>P99966</t>
  </si>
  <si>
    <t>P99965</t>
  </si>
  <si>
    <t>P99964</t>
  </si>
  <si>
    <t>P99963</t>
  </si>
  <si>
    <t>P99962</t>
  </si>
  <si>
    <t>P99961</t>
  </si>
  <si>
    <t>P99960</t>
  </si>
  <si>
    <t>P99959</t>
  </si>
  <si>
    <t>P99958</t>
  </si>
  <si>
    <t>P99957</t>
  </si>
  <si>
    <t>P99956</t>
  </si>
  <si>
    <t>P99955</t>
  </si>
  <si>
    <t>P99954</t>
  </si>
  <si>
    <t>P99953</t>
  </si>
  <si>
    <t>P99952</t>
  </si>
  <si>
    <t>GRAN, WILLIAM E.</t>
  </si>
  <si>
    <t>HEMANN, CHARLES J.</t>
  </si>
  <si>
    <t>235032</t>
  </si>
  <si>
    <t>STEWART, BETH</t>
  </si>
  <si>
    <t>Economics and Finance</t>
  </si>
  <si>
    <t>TERRY, ANDY</t>
  </si>
  <si>
    <t>LOWE, LOUISE L.</t>
  </si>
  <si>
    <t>Executive MBA Program</t>
  </si>
  <si>
    <t>BAKR, MAMDOUH M.</t>
  </si>
  <si>
    <t>BLACKLOCK, JAMES R.</t>
  </si>
  <si>
    <t>ROUCH, JULIAN S. "JUD"</t>
  </si>
  <si>
    <t>FOSTER, JAMIE</t>
  </si>
  <si>
    <t>GRABLE, CHERYL R.</t>
  </si>
  <si>
    <t>Computing Services</t>
  </si>
  <si>
    <t>KIRCHMEYER, RICHARD H.</t>
  </si>
  <si>
    <t>FLEMING, DENNIS B.</t>
  </si>
  <si>
    <t>JOHNSON, TRACY L.</t>
  </si>
  <si>
    <t>DAVIS, ROGERS E.</t>
  </si>
  <si>
    <t>CHEREPSKI, DON D.</t>
  </si>
  <si>
    <t>PEARCE SR., PATRICK</t>
  </si>
  <si>
    <t>SPANGLER, GUY R.</t>
  </si>
  <si>
    <t>MILLER, DALE O.</t>
  </si>
  <si>
    <t>SWAIN, AUGUSTUS</t>
  </si>
  <si>
    <t>LABORATORY ASSISTANT III</t>
  </si>
  <si>
    <t>Developmental Lab</t>
  </si>
  <si>
    <t>Educational Leadership</t>
  </si>
  <si>
    <t>SPILLERS, D.S.</t>
  </si>
  <si>
    <t>670100</t>
  </si>
  <si>
    <t>640513</t>
  </si>
  <si>
    <t>R99114</t>
  </si>
  <si>
    <t>BURNS, CANDACE W.</t>
  </si>
  <si>
    <t>TIPSHUS, JOHN B.</t>
  </si>
  <si>
    <t>STUCKEY, PETER M.</t>
  </si>
  <si>
    <t>ROBERTS, AARON G.</t>
  </si>
  <si>
    <t>ROWLETT, DONAL</t>
  </si>
  <si>
    <t>HILLIARD, MARILYN N.</t>
  </si>
  <si>
    <t>55053B</t>
  </si>
  <si>
    <t>NMR MAINTENANCE</t>
  </si>
  <si>
    <t>Public Safety - Coop Ext.</t>
  </si>
  <si>
    <t>SPEARS, GEORGE D.</t>
  </si>
  <si>
    <t>THROWER, JOHN E.</t>
  </si>
  <si>
    <t>Mail Services</t>
  </si>
  <si>
    <t>PLANT WAREHOUSE FOREMAN</t>
  </si>
  <si>
    <t>RAWLINGS, NEAL A.</t>
  </si>
  <si>
    <t>LOGISTICS MANAGER</t>
  </si>
  <si>
    <t>STORE SUPERVISOR</t>
  </si>
  <si>
    <t>MAIL OFFICER</t>
  </si>
  <si>
    <t>POSTAGE</t>
  </si>
  <si>
    <t>DISTRIBUTION</t>
  </si>
  <si>
    <t>Human Relations office</t>
  </si>
  <si>
    <t>WINSTON, EVELYN E.</t>
  </si>
  <si>
    <t>WATKINS, JEANETTE A.</t>
  </si>
  <si>
    <t>JOHNSON, WENDY R.</t>
  </si>
  <si>
    <t>Office of Research and Sponsored Programs - College Research Fund</t>
  </si>
  <si>
    <t>Office of Research and Sponsored Programs - Research Equipment Match</t>
  </si>
  <si>
    <t>Institute for Economic Advancement</t>
  </si>
  <si>
    <t>VIBHAKAR, ASHVIN</t>
  </si>
  <si>
    <t>HEATING/AC SUPERVISOR</t>
  </si>
  <si>
    <t>ALLEN, RICHARD E.</t>
  </si>
  <si>
    <t>SKILLED TRADES WORKER</t>
  </si>
  <si>
    <t>COCHRAN, RANDY L.</t>
  </si>
  <si>
    <t>GENERAL MAINTENANCE REPAIRPERSON</t>
  </si>
  <si>
    <t>ROACHELL, SHAWN</t>
  </si>
  <si>
    <t>HEATING/AC MECHANIC</t>
  </si>
  <si>
    <t>TAYLOR, OLEN</t>
  </si>
  <si>
    <t>BOOKKEEPER ASSISTANT</t>
  </si>
  <si>
    <t>99281B</t>
  </si>
  <si>
    <t>DIR/INSTRUCTIONAL/FAC DEV</t>
  </si>
  <si>
    <t>RESEARCH COORDINATOR</t>
  </si>
  <si>
    <t>BUSINESS MANAGER</t>
  </si>
  <si>
    <t>BARNES, KEVIN D.</t>
  </si>
  <si>
    <t>HE PUBLIC SAFETY DISPATCHER</t>
  </si>
  <si>
    <t>DIRECTOR OF COMPUTING SERVICES</t>
  </si>
  <si>
    <t>ZACNY, S. ANGELINA</t>
  </si>
  <si>
    <t>OWEN, P.DANNY</t>
  </si>
  <si>
    <t>MORGAN, SARA R.</t>
  </si>
  <si>
    <t>RESEARCH EDITOR</t>
  </si>
  <si>
    <t>ASSOC RSCH/EXT SPECIALIST</t>
  </si>
  <si>
    <t>COMMERCIAL/GRAPHIC ARTIST</t>
  </si>
  <si>
    <t>DIRECTOR STUDENT ACTIVITIES</t>
  </si>
  <si>
    <t>STUDENT DEVL SPECIALIST</t>
  </si>
  <si>
    <t>DIRECTOR TESTING SERVICES</t>
  </si>
  <si>
    <t>DIRECTOR OF ADMISSIONS</t>
  </si>
  <si>
    <t>DEAN/BUSINESS ADMIN</t>
  </si>
  <si>
    <t>EX/ADMINISTRATIVE SECRETARY</t>
  </si>
  <si>
    <t>SENIOR RSCH/EXTENSION SPEC</t>
  </si>
  <si>
    <t>DEAN OF LAW SCHOOL</t>
  </si>
  <si>
    <t>BEAIRD, A. MICHAEL</t>
  </si>
  <si>
    <t>ASSOC PROF LAW SCHOOL</t>
  </si>
  <si>
    <t>MULTI-MEDIA SPECIALIST</t>
  </si>
  <si>
    <t>DEPARTMENT CHAIRPERSON</t>
  </si>
  <si>
    <t>CURD, R.MICHELLE</t>
  </si>
  <si>
    <t>INSTRUCTOR 12 MONTH</t>
  </si>
  <si>
    <t>Enrollment Planning</t>
  </si>
  <si>
    <t>HOWELL, SAMUEL E.</t>
  </si>
  <si>
    <t>55070B</t>
  </si>
  <si>
    <t>KLRE/KUAR - College of Professional Studies</t>
  </si>
  <si>
    <t>Cable TV</t>
  </si>
  <si>
    <t>Physical plant - Administration</t>
  </si>
  <si>
    <t>55081B</t>
  </si>
  <si>
    <t>DP OPERATIONS SUPV I - INST</t>
  </si>
  <si>
    <t>DODSON, THOMAS E.</t>
  </si>
  <si>
    <t>DOSS, PATRICIA G.</t>
  </si>
  <si>
    <t>DICKERSON, LARRY R.</t>
  </si>
  <si>
    <t>CLOWERS, ROBERT L.</t>
  </si>
  <si>
    <t>SISSEL, PEGGY</t>
  </si>
  <si>
    <t>WHITESIDE-MANSELL, L.</t>
  </si>
  <si>
    <t>DAVIS, POLLY</t>
  </si>
  <si>
    <t>CAMPBELL, SHERRI D.</t>
  </si>
  <si>
    <t>ADMIN. OFFICE SUPERVISOR</t>
  </si>
  <si>
    <t>MCGINNESS, ALANA A.</t>
  </si>
  <si>
    <t>Student Teaching Lab</t>
  </si>
  <si>
    <t>Center for Developmental Skills</t>
  </si>
  <si>
    <t>SOO, EVELYN H.</t>
  </si>
  <si>
    <t>WOOD, NANCY G.</t>
  </si>
  <si>
    <t>DELNIS, YVONNE A.</t>
  </si>
  <si>
    <t>CROSTON, YVONNE M.</t>
  </si>
  <si>
    <t>VAMMEN, ANNA N.</t>
  </si>
  <si>
    <t>THOMAS, LOUELLA</t>
  </si>
  <si>
    <t>HILL, LOU D.</t>
  </si>
  <si>
    <t>MATSON, JOANNE D.</t>
  </si>
  <si>
    <t>MCCOY, EMMA J.</t>
  </si>
  <si>
    <t>ADMINISTRATIVE ASSIST II</t>
  </si>
  <si>
    <t>JONES, BETTY J.</t>
  </si>
  <si>
    <t>College of Science &amp; Engineering Technology Reserve - Lect./Sum School</t>
  </si>
  <si>
    <t>67022B</t>
  </si>
  <si>
    <t>Community College Relations</t>
  </si>
  <si>
    <t>JAUSS, STEVEN A.</t>
  </si>
  <si>
    <t>LAW, CHARLES</t>
  </si>
  <si>
    <t>GROESBECK, ROLF A.</t>
  </si>
  <si>
    <t>R99830</t>
  </si>
  <si>
    <t>R99829</t>
  </si>
  <si>
    <t>R99828</t>
  </si>
  <si>
    <t>R99827</t>
  </si>
  <si>
    <t>R99826</t>
  </si>
  <si>
    <t>R99825</t>
  </si>
  <si>
    <t>R99824</t>
  </si>
  <si>
    <t>R99823</t>
  </si>
  <si>
    <t>R99822</t>
  </si>
  <si>
    <t>R99821</t>
  </si>
  <si>
    <t>R99820</t>
  </si>
  <si>
    <t>R99819</t>
  </si>
  <si>
    <t>R99818</t>
  </si>
  <si>
    <t>R99817</t>
  </si>
  <si>
    <t>R99816</t>
  </si>
  <si>
    <t>R99815</t>
  </si>
  <si>
    <t>R99814</t>
  </si>
  <si>
    <t>R99813</t>
  </si>
  <si>
    <t>R99812</t>
  </si>
  <si>
    <t>R99811</t>
  </si>
  <si>
    <t>R99810</t>
  </si>
  <si>
    <t>R99809</t>
  </si>
  <si>
    <t>R99808</t>
  </si>
  <si>
    <t>R99807</t>
  </si>
  <si>
    <t>R99806</t>
  </si>
  <si>
    <t>R99805</t>
  </si>
  <si>
    <t>R99804</t>
  </si>
  <si>
    <t>R99803</t>
  </si>
  <si>
    <t>R99802</t>
  </si>
  <si>
    <t>R99801</t>
  </si>
  <si>
    <t>R99800</t>
  </si>
  <si>
    <t>R99799</t>
  </si>
  <si>
    <t>R99798</t>
  </si>
  <si>
    <t>R99797</t>
  </si>
  <si>
    <t>R99796</t>
  </si>
  <si>
    <t>R99795</t>
  </si>
  <si>
    <t>R99794</t>
  </si>
  <si>
    <t>R99793</t>
  </si>
  <si>
    <t>R99792</t>
  </si>
  <si>
    <t>R99791</t>
  </si>
  <si>
    <t>R99790</t>
  </si>
  <si>
    <t>University Festival</t>
  </si>
  <si>
    <t>MOORE, PHYLLIS J.</t>
  </si>
  <si>
    <t>PECK, JAMES H.</t>
  </si>
  <si>
    <t>RICKETT, JOHN D.</t>
  </si>
  <si>
    <t>SPATZ, THEA S.</t>
  </si>
  <si>
    <t>BALTOSSER, WILLIAM H.</t>
  </si>
  <si>
    <t>KLEVE, MAURICE G.</t>
  </si>
  <si>
    <t>STAPLETON, CARL R.</t>
  </si>
  <si>
    <t>WATSON, ROBERT L.</t>
  </si>
  <si>
    <t>BUSH IV, JOHN M.</t>
  </si>
  <si>
    <t>DAVIS, MARSHEL D.</t>
  </si>
  <si>
    <t>QUIMBY, DONNA G.</t>
  </si>
  <si>
    <t>ELDER, BOBBY</t>
  </si>
  <si>
    <t>WOODSON, SHAWN</t>
  </si>
  <si>
    <t>WINGFIELD, CHARLES M.</t>
  </si>
  <si>
    <t>LEWIS, VANESSA L.</t>
  </si>
  <si>
    <t>THOMPSON, JOYCE</t>
  </si>
  <si>
    <t>FRANKLIN, C. WILLIAM</t>
  </si>
  <si>
    <t>Dean-College Arts, Humanities and Social Science</t>
  </si>
  <si>
    <t>SALARIES TOTAL</t>
  </si>
  <si>
    <t>TSCHUMI III, HARRY A.</t>
  </si>
  <si>
    <t>CRESS, GREGORY</t>
  </si>
  <si>
    <t>HANCOCK, CHARLES A.</t>
  </si>
  <si>
    <t>SIPES, BILL N.</t>
  </si>
  <si>
    <t>CASH, TAMMIE L.</t>
  </si>
  <si>
    <t>WADE-CARTER, REGINA S.</t>
  </si>
  <si>
    <t>CALDWELL, JASON M.</t>
  </si>
  <si>
    <t>JACKSON, TUANCHIT D.</t>
  </si>
  <si>
    <t>BIRDSONG, GLEN J.</t>
  </si>
  <si>
    <t>VANDER PUTTEN, JAMES</t>
  </si>
  <si>
    <t>MCNEAL, LARRY</t>
  </si>
  <si>
    <t>THEATRE ARTS TECH SUPERV</t>
  </si>
  <si>
    <t>DIR/UNIV SCHOLARS PROGRAMS</t>
  </si>
  <si>
    <t>DIR/OFC INTERNATIONAL PROG</t>
  </si>
  <si>
    <t>ADMIN ASSISTANT I</t>
  </si>
  <si>
    <t>ASST PROFESSOR LAW</t>
  </si>
  <si>
    <t xml:space="preserve">INSTRUCTOR </t>
  </si>
  <si>
    <t>DIR/COOPERATIVE EDUC PROG</t>
  </si>
  <si>
    <t>COORD/COOPERATIVE EDUCATION</t>
  </si>
  <si>
    <t>JOB DEV/COOPERATIVE ED PRG</t>
  </si>
  <si>
    <t>COORD/OFF-CAMPUS CREDIT CR</t>
  </si>
  <si>
    <t>ASST RSCH/EXTENSION SPECL</t>
  </si>
  <si>
    <t xml:space="preserve">LECTURER  </t>
  </si>
  <si>
    <t>LUBIN, SANDRA A.</t>
  </si>
  <si>
    <t>SINCLAIR-JAMES, LUCINDA</t>
  </si>
  <si>
    <t>ULMER, ROBERT A.</t>
  </si>
  <si>
    <t>HOLLAND, LARRY C.</t>
  </si>
  <si>
    <t>HALL, JOHN</t>
  </si>
  <si>
    <t>KELLER, ANITA P.</t>
  </si>
  <si>
    <t>WISDOM, KAREN M.</t>
  </si>
  <si>
    <t>ADJUNCT FACULTY SAL. RES.</t>
  </si>
  <si>
    <t>MATHIS, J. CHRISTOPHER</t>
  </si>
  <si>
    <t>ANDERSON, BRUCE A.</t>
  </si>
  <si>
    <t>STANLEY, ALLEN D.</t>
  </si>
  <si>
    <t>PERRY RICHARDSON, FELICIA M.</t>
  </si>
  <si>
    <t>WINKLER, DARLENE R.</t>
  </si>
  <si>
    <t>SIMPSON, DEBRA A.</t>
  </si>
  <si>
    <t xml:space="preserve">LOCHALA, JOHN D. </t>
  </si>
  <si>
    <t>BAILEY, JEROME F.</t>
  </si>
  <si>
    <t>STEELE, DONALD R.</t>
  </si>
  <si>
    <t>MADDEN, BURT</t>
  </si>
  <si>
    <t>SULLIVAN, J.T.</t>
  </si>
  <si>
    <t>BEINER, THERESA M.</t>
  </si>
  <si>
    <t>CLARKE, CHERYL A.</t>
  </si>
  <si>
    <t>SPIEKER, GISELA</t>
  </si>
  <si>
    <t>GOOSEN, KENNETH R.</t>
  </si>
  <si>
    <t>PERRYMAN, WILLIAM R.</t>
  </si>
  <si>
    <t>SHERRILL, PETER</t>
  </si>
  <si>
    <t>NEW, FROM LAW SCHOOL</t>
  </si>
  <si>
    <t>55031B</t>
  </si>
  <si>
    <t>RESERVE</t>
  </si>
  <si>
    <t>Curriculum Development Grants</t>
  </si>
  <si>
    <t>PREDMORE, MICHAEL A.</t>
  </si>
  <si>
    <t>ROOFER</t>
  </si>
  <si>
    <t>JAUSS, JUDITH A.</t>
  </si>
  <si>
    <t>OVERBY, DONNA F.</t>
  </si>
  <si>
    <t>MAINTENANCE GEOGRAPHY</t>
  </si>
  <si>
    <t>MAINTENANCE - HISTORY DAY</t>
  </si>
  <si>
    <t>Philosophy and Liberal Studies</t>
  </si>
  <si>
    <t>THOMAS, JAN L.</t>
  </si>
  <si>
    <t>SPADEMAN, THOMAS B.</t>
  </si>
  <si>
    <t>HESTER, KIMBERLY L.</t>
  </si>
  <si>
    <t>HADDOCK, PAYNE W.</t>
  </si>
  <si>
    <t>HARRIS, BETTY J.</t>
  </si>
  <si>
    <t>HARRIS, SHARON R.</t>
  </si>
  <si>
    <t>JONES, LINDA C.</t>
  </si>
  <si>
    <t>MATTHEWS, JOYCE</t>
  </si>
  <si>
    <t>MILLS, JENNIFER L.</t>
  </si>
  <si>
    <t>LANDSCAPE SUPERVISOR I</t>
  </si>
  <si>
    <t>HESTER, CARROLL C.</t>
  </si>
  <si>
    <t>EQUIPMENT OPERATOR</t>
  </si>
  <si>
    <t>MAINTENANCE WORKER II</t>
  </si>
  <si>
    <t>MATCHETT, JIMMY D.</t>
  </si>
  <si>
    <t>PARKER, FELECIA A.</t>
  </si>
  <si>
    <t>MEDICAL/LEGAL SECRETARY</t>
  </si>
  <si>
    <t>Inoculation Services</t>
  </si>
  <si>
    <t>Disability Support Services</t>
  </si>
  <si>
    <t>QUELLER, SUSAN L.</t>
  </si>
  <si>
    <t>GIBSON, LINDA B.</t>
  </si>
  <si>
    <t>TUTTLE, CARRIE E.</t>
  </si>
  <si>
    <t>OWEN, CHRISTY D.</t>
  </si>
  <si>
    <t>WEST, JOHN W.</t>
  </si>
  <si>
    <t>COUNSELOR II</t>
  </si>
  <si>
    <t>SWOPE, LANA J.</t>
  </si>
  <si>
    <t>ROBERTSON, CHARLOTTE M.</t>
  </si>
  <si>
    <t>HATHAWAY, BETTY</t>
  </si>
  <si>
    <t>STANFORD, BARBARA L.</t>
  </si>
  <si>
    <t>DORN, LINDA J.</t>
  </si>
  <si>
    <t>JENKINS, MELISSA J.</t>
  </si>
  <si>
    <t>ADJUNCT INSTRUCTOR</t>
  </si>
  <si>
    <t>Associate Vice Chancellor for Finance</t>
  </si>
  <si>
    <t>SHOCKEY, LUCIAN H.</t>
  </si>
  <si>
    <t>INFORMATION TECHNOLOGY ACCOUNTANT</t>
  </si>
  <si>
    <t>Office of Budget</t>
  </si>
  <si>
    <t>WOOD, ERMA R.</t>
  </si>
  <si>
    <t>VENKATRAMAN, SANTOSH S.</t>
  </si>
  <si>
    <t>BACON JR., CALVIN</t>
  </si>
  <si>
    <t>BAILEY, JANET</t>
  </si>
  <si>
    <t>PARKER, LESLIE D.</t>
  </si>
  <si>
    <t>R99586</t>
  </si>
  <si>
    <t>R99585</t>
  </si>
  <si>
    <t>R99584</t>
  </si>
  <si>
    <t>R99583</t>
  </si>
  <si>
    <t>R99582</t>
  </si>
  <si>
    <t>R99581</t>
  </si>
  <si>
    <t>R99580</t>
  </si>
  <si>
    <t>R99579</t>
  </si>
  <si>
    <t>R99578</t>
  </si>
  <si>
    <t>R99576</t>
  </si>
  <si>
    <t>R99575</t>
  </si>
  <si>
    <t>R99574</t>
  </si>
  <si>
    <t>R99573</t>
  </si>
  <si>
    <t>R99571</t>
  </si>
  <si>
    <t>R99570</t>
  </si>
  <si>
    <t>R99569</t>
  </si>
  <si>
    <t>R99568</t>
  </si>
  <si>
    <t>R99567</t>
  </si>
  <si>
    <t>R99566</t>
  </si>
  <si>
    <t>R99565</t>
  </si>
  <si>
    <t>R99564</t>
  </si>
  <si>
    <t>R99563</t>
  </si>
  <si>
    <t>R99562</t>
  </si>
  <si>
    <t>R99561</t>
  </si>
  <si>
    <t>R99560</t>
  </si>
  <si>
    <t>R99559</t>
  </si>
  <si>
    <t>R99558</t>
  </si>
  <si>
    <t>R99557</t>
  </si>
  <si>
    <t>R99556</t>
  </si>
  <si>
    <t>R99555</t>
  </si>
  <si>
    <t>R99554</t>
  </si>
  <si>
    <t>R99553</t>
  </si>
  <si>
    <t>R99552</t>
  </si>
  <si>
    <t>R99551</t>
  </si>
  <si>
    <t>R99550</t>
  </si>
  <si>
    <t>R99549</t>
  </si>
  <si>
    <t>R99548</t>
  </si>
  <si>
    <t>R99547</t>
  </si>
  <si>
    <t>R99546</t>
  </si>
  <si>
    <t>R99545</t>
  </si>
  <si>
    <t>R99544</t>
  </si>
  <si>
    <t>R99543</t>
  </si>
  <si>
    <t>R99542</t>
  </si>
  <si>
    <t>R99541</t>
  </si>
  <si>
    <t>R99540</t>
  </si>
  <si>
    <t>R99539</t>
  </si>
  <si>
    <t>R99538</t>
  </si>
  <si>
    <t>R99537</t>
  </si>
  <si>
    <t>R99536</t>
  </si>
  <si>
    <t>R99535</t>
  </si>
  <si>
    <t>R99534</t>
  </si>
  <si>
    <t>R99533</t>
  </si>
  <si>
    <t>R99532</t>
  </si>
  <si>
    <t>R99531</t>
  </si>
  <si>
    <t>R99530</t>
  </si>
  <si>
    <t>R99529</t>
  </si>
  <si>
    <t>R99528</t>
  </si>
  <si>
    <t>R99527</t>
  </si>
  <si>
    <t>R99526</t>
  </si>
  <si>
    <t>R99525</t>
  </si>
  <si>
    <t>R99524</t>
  </si>
  <si>
    <t>R99523</t>
  </si>
  <si>
    <t>R99522</t>
  </si>
  <si>
    <t>R99521</t>
  </si>
  <si>
    <t>R99520</t>
  </si>
  <si>
    <t>R99519</t>
  </si>
  <si>
    <t>R99518</t>
  </si>
  <si>
    <t>R99517</t>
  </si>
  <si>
    <t>R99516</t>
  </si>
  <si>
    <t>R99515</t>
  </si>
  <si>
    <t>R99514</t>
  </si>
  <si>
    <t>R99511</t>
  </si>
  <si>
    <t>R99510</t>
  </si>
  <si>
    <t>R99509</t>
  </si>
  <si>
    <t>R99508</t>
  </si>
  <si>
    <t>R99507</t>
  </si>
  <si>
    <t>R99506</t>
  </si>
  <si>
    <t>R99505</t>
  </si>
  <si>
    <t>R99504</t>
  </si>
  <si>
    <t>R99503</t>
  </si>
  <si>
    <t>R99502</t>
  </si>
  <si>
    <t>R99501</t>
  </si>
  <si>
    <t>R99500</t>
  </si>
  <si>
    <t>R99499</t>
  </si>
  <si>
    <t>R99498</t>
  </si>
  <si>
    <t>R99497</t>
  </si>
  <si>
    <t>R99496</t>
  </si>
  <si>
    <t>R99495</t>
  </si>
  <si>
    <t>R99494</t>
  </si>
  <si>
    <t>R99493</t>
  </si>
  <si>
    <t>R99492</t>
  </si>
  <si>
    <t>R99491</t>
  </si>
  <si>
    <t>R99490</t>
  </si>
  <si>
    <t>R99487</t>
  </si>
  <si>
    <t>R99486</t>
  </si>
  <si>
    <t>R99485</t>
  </si>
  <si>
    <t>R99484</t>
  </si>
  <si>
    <t>R99483</t>
  </si>
  <si>
    <t>R99482</t>
  </si>
  <si>
    <t>R99481</t>
  </si>
  <si>
    <t>R99479</t>
  </si>
  <si>
    <t>R99478</t>
  </si>
  <si>
    <t>R99477</t>
  </si>
  <si>
    <t>R99476</t>
  </si>
  <si>
    <t>R99475</t>
  </si>
  <si>
    <t>R99474</t>
  </si>
  <si>
    <t>R99473</t>
  </si>
  <si>
    <t>R99472</t>
  </si>
  <si>
    <t>R99471</t>
  </si>
  <si>
    <t>R99470</t>
  </si>
  <si>
    <t>R99469</t>
  </si>
  <si>
    <t>R99468</t>
  </si>
  <si>
    <t>R99467</t>
  </si>
  <si>
    <t>R99466</t>
  </si>
  <si>
    <t>R99465</t>
  </si>
  <si>
    <t>R99464</t>
  </si>
  <si>
    <t>R99463</t>
  </si>
  <si>
    <t>R99462</t>
  </si>
  <si>
    <t>R99461</t>
  </si>
  <si>
    <t>R99460</t>
  </si>
  <si>
    <t>R99459</t>
  </si>
  <si>
    <t>R99458</t>
  </si>
  <si>
    <t>R99457</t>
  </si>
  <si>
    <t>R99456</t>
  </si>
  <si>
    <t>R99455</t>
  </si>
  <si>
    <t>R99454</t>
  </si>
  <si>
    <t>R99453</t>
  </si>
  <si>
    <t>R99452</t>
  </si>
  <si>
    <t>R99451</t>
  </si>
  <si>
    <t>R99449</t>
  </si>
  <si>
    <t>R99448</t>
  </si>
  <si>
    <t>R99447</t>
  </si>
  <si>
    <t>R99446</t>
  </si>
  <si>
    <t>R99445</t>
  </si>
  <si>
    <t>R99444</t>
  </si>
  <si>
    <t>R99443</t>
  </si>
  <si>
    <t>R99442</t>
  </si>
  <si>
    <t>R99441</t>
  </si>
  <si>
    <t>R99440</t>
  </si>
  <si>
    <t>R99439</t>
  </si>
  <si>
    <t>R99438</t>
  </si>
  <si>
    <t>R99437</t>
  </si>
  <si>
    <t>R99436</t>
  </si>
  <si>
    <t>PHILLIPS, LEVI</t>
  </si>
  <si>
    <t>AMEY, BARBARA A.</t>
  </si>
  <si>
    <t>BURKE, CAROLE R.</t>
  </si>
  <si>
    <t>DIR/CORPORATE &amp; FOUNDATION COMMU.</t>
  </si>
  <si>
    <t>LARSON, JAMES S.</t>
  </si>
  <si>
    <t>SINK, DAVID W.</t>
  </si>
  <si>
    <t>100100</t>
  </si>
  <si>
    <t>MINSKER, STEVEN</t>
  </si>
  <si>
    <t>REDDY, RAMA N.</t>
  </si>
  <si>
    <t>TYLER-HASHEMI, RAY R.</t>
  </si>
  <si>
    <t>BALLARD, GEORGE S.</t>
  </si>
  <si>
    <t>FORD, CHARLES W.</t>
  </si>
  <si>
    <t>MOSSAAD, KARAM M.</t>
  </si>
  <si>
    <t>WHEELER, DEBORAH S.</t>
  </si>
  <si>
    <t>HARPER, PAMELA L.</t>
  </si>
  <si>
    <t>Computer Science Lab</t>
  </si>
  <si>
    <t>Nursing</t>
  </si>
  <si>
    <t>REACH, REBECCA M.</t>
  </si>
  <si>
    <t>RIMER, LINDA J.</t>
  </si>
  <si>
    <t>CHRISTIE, CATHERINE A.</t>
  </si>
  <si>
    <t>STRAUGHN, ALICE A.</t>
  </si>
  <si>
    <t>MARTINDALE, LUANA S.</t>
  </si>
  <si>
    <t>MILLER, MARY J.</t>
  </si>
  <si>
    <t>UALR Houses and University Courts</t>
  </si>
  <si>
    <t>ISLAM, FATIHA I.</t>
  </si>
  <si>
    <t>WARRICK, JOHN R.</t>
  </si>
  <si>
    <t>WILLIAMS, LAVORIS</t>
  </si>
  <si>
    <t>Library Materials</t>
  </si>
  <si>
    <t>Library Technology</t>
  </si>
  <si>
    <t>Archives</t>
  </si>
  <si>
    <t>PINE, LINDA R.</t>
  </si>
  <si>
    <t>JACKSON, JOHN M.</t>
  </si>
  <si>
    <t>ARCHIVAL ASSISTANT</t>
  </si>
  <si>
    <t>MURPHY, JANE-ELLEN</t>
  </si>
  <si>
    <t>MATERIALS</t>
  </si>
  <si>
    <t>Law Library</t>
  </si>
  <si>
    <t>Golf (Women)</t>
  </si>
  <si>
    <t>55085C</t>
  </si>
  <si>
    <t>Track (Men)</t>
  </si>
  <si>
    <t>55018I</t>
  </si>
  <si>
    <t>PLANETARIUM MAINTENANCE</t>
  </si>
  <si>
    <t>Physics and Astronomy Lab</t>
  </si>
  <si>
    <t>Engineering Technology</t>
  </si>
  <si>
    <t>PATANGIA, H. C.</t>
  </si>
  <si>
    <t>ARRINGTON, BOB C.</t>
  </si>
  <si>
    <t>EARLY, KENNETH</t>
  </si>
  <si>
    <t>DELRIO, JILLIAN M.</t>
  </si>
  <si>
    <t>KAUFMAN, SCOTT</t>
  </si>
  <si>
    <t>WELLS, SCOTTY W.</t>
  </si>
  <si>
    <t>OSWALT, ERNEST M.</t>
  </si>
  <si>
    <t>CUSTODIAL SUPERVISOR I</t>
  </si>
  <si>
    <t>BURNETT, LARRY</t>
  </si>
  <si>
    <t>SCAIFE, JAMES W.</t>
  </si>
  <si>
    <t>HAYES, DOROTHY A.</t>
  </si>
  <si>
    <t>Journalism</t>
  </si>
  <si>
    <t>ROLLBERG, JEANNE M.</t>
  </si>
  <si>
    <t>SANDERS, LUTHER W.</t>
  </si>
  <si>
    <t>PLOPPER, BRUCE L.</t>
  </si>
  <si>
    <t>RUTHERFORD, BILL</t>
  </si>
  <si>
    <t>EDWARDS, TIM</t>
  </si>
  <si>
    <t>Journalism Lab</t>
  </si>
  <si>
    <t>Institute of Government - Instruction</t>
  </si>
  <si>
    <t>FRIBOURGH, JAMES</t>
  </si>
  <si>
    <t>Intensive English Program</t>
  </si>
  <si>
    <t>GRAHAME, DAVID B.</t>
  </si>
  <si>
    <t>BERRY, ELIZABETH F.</t>
  </si>
  <si>
    <t>BRUNO, CELESTE M.</t>
  </si>
  <si>
    <t>BEARD-HUNTING, HOLLACE</t>
  </si>
  <si>
    <t>LESS, PHILIP E.</t>
  </si>
  <si>
    <t>LINDSEY, LINDA F.</t>
  </si>
  <si>
    <t>99251B</t>
  </si>
  <si>
    <t>55051B</t>
  </si>
  <si>
    <t>Office of Communications</t>
  </si>
  <si>
    <t>BROTHERS, RONNY L.</t>
  </si>
  <si>
    <t>VANZANT, VONELLE</t>
  </si>
  <si>
    <t>PRUETT, DONNA M.</t>
  </si>
  <si>
    <t>HUNT, JANE V.</t>
  </si>
  <si>
    <t>LEE, TIMOTHY M.</t>
  </si>
  <si>
    <t>KERKSIECK, ANN L.</t>
  </si>
  <si>
    <t>GRAPHIC ARTIST I</t>
  </si>
  <si>
    <t>HALSTEAD, BONNIE A.</t>
  </si>
  <si>
    <t>ADMINISTRATIVE SECRETARY</t>
  </si>
  <si>
    <t>Alumni Affairs</t>
  </si>
  <si>
    <t>CHANDLER, JANIS A.</t>
  </si>
  <si>
    <t>PROGRAM COORDINATOR</t>
  </si>
  <si>
    <t>CLEGG, LISA</t>
  </si>
  <si>
    <t>Development Office</t>
  </si>
  <si>
    <t>Institute for Economic Advancement - Management Education</t>
  </si>
  <si>
    <t>PIPKIN, N. FRANK</t>
  </si>
  <si>
    <t>LASSIEUR, EDOUARD L.</t>
  </si>
  <si>
    <t>DELONEY, RITA K.</t>
  </si>
  <si>
    <t>Institute for Economic Advancement - Labor Education</t>
  </si>
  <si>
    <t>JOHNSON, JAY S.</t>
  </si>
  <si>
    <t>THOMAS-HOLLADAY, DIANE L.</t>
  </si>
  <si>
    <t>GENTRY, DEBRA S.</t>
  </si>
  <si>
    <t>Student Fee Transfer - Gender Equity</t>
  </si>
  <si>
    <t>DIRECTOR OF HOUSING</t>
  </si>
  <si>
    <t>MOFFITT, CHERYL C.</t>
  </si>
  <si>
    <t>Dean-College of Information Science and Systems Engineering</t>
  </si>
  <si>
    <t>Dean-College of Science and Mathematics</t>
  </si>
  <si>
    <t>DEAN/SCIENCE &amp; MATHEMATICS</t>
  </si>
  <si>
    <t>DEAN/CISSE</t>
  </si>
  <si>
    <t>ASSISTANT DEAN(MINORITY RELATIONS)</t>
  </si>
  <si>
    <t>TRANSFER TO UAPB</t>
  </si>
  <si>
    <t>TRANSFER TO WESTARK</t>
  </si>
  <si>
    <t>IT MINOR</t>
  </si>
  <si>
    <t>Office of Information Science and Information Technology Minor</t>
  </si>
  <si>
    <t>DIRECTOR OF INFORMATION SCIENCE AND SUMMER PROGRAMS</t>
  </si>
  <si>
    <t>FACULTY</t>
  </si>
  <si>
    <t>COUNSELOR STIPENDS</t>
  </si>
  <si>
    <t>STUDENT STIPENDS</t>
  </si>
  <si>
    <t>INTERNET 2</t>
  </si>
  <si>
    <t>Department of Systems Engineering</t>
  </si>
  <si>
    <t>TECHNICAL SUPPORT</t>
  </si>
  <si>
    <t>Summer Abroad</t>
  </si>
  <si>
    <t>Library</t>
  </si>
  <si>
    <t>DIRECTOR LIBRARY</t>
  </si>
  <si>
    <t>PLANT MAINTENANCE SUPERVISOR</t>
  </si>
  <si>
    <t>DEANS' RESERVES</t>
  </si>
  <si>
    <t>BUDGET REDUCTION</t>
  </si>
  <si>
    <t>Early Retirement - Law School</t>
  </si>
  <si>
    <t>SYSTEMS PROGRAMMER III - I</t>
  </si>
  <si>
    <t>DP PRODUCTION MNGR I - INS</t>
  </si>
  <si>
    <t>SYSTEM ANALYST II - INST</t>
  </si>
  <si>
    <t>FUNDING SOURCE(S)</t>
  </si>
  <si>
    <t>Student Development</t>
  </si>
  <si>
    <t>SLAYDEN, PRESTON H.</t>
  </si>
  <si>
    <t>PEP BAND</t>
  </si>
  <si>
    <t>ASCAP/BMI DUES</t>
  </si>
  <si>
    <t>Music Lab</t>
  </si>
  <si>
    <t>Sociology and Anthropology</t>
  </si>
  <si>
    <t>TREVINO-RICHARD, TERRY</t>
  </si>
  <si>
    <t>BAER, HANS A.</t>
  </si>
  <si>
    <t>BUFFALO, MARION D.</t>
  </si>
  <si>
    <t>Physical Plant - Service Contracts</t>
  </si>
  <si>
    <t>ADJUNCT ASSOCIATE PROFESSOR</t>
  </si>
  <si>
    <t>ADJUNCT ASSISTANT PROFESSOR</t>
  </si>
  <si>
    <t>GIBBENS, BYRD</t>
  </si>
  <si>
    <t>MOORE, ERLE P.</t>
  </si>
  <si>
    <t>FARLER, THOMAS W.</t>
  </si>
  <si>
    <t>HAVNIEAR, ROGER W.</t>
  </si>
  <si>
    <t>YODER, RICHARD P.</t>
  </si>
  <si>
    <t>MUNSON, ALICE A.</t>
  </si>
  <si>
    <t>Writing Center</t>
  </si>
  <si>
    <t>Soccer (Women)</t>
  </si>
  <si>
    <t>PRATT, CHRISTOPHER A.</t>
  </si>
  <si>
    <t>55088C</t>
  </si>
  <si>
    <t>Forum</t>
  </si>
  <si>
    <t>Student Activities</t>
  </si>
  <si>
    <t>ALFORD, GLADYS L.</t>
  </si>
  <si>
    <t>SPATARO, MARIAN C.</t>
  </si>
  <si>
    <t>HALL, FRANK D.</t>
  </si>
  <si>
    <t>WARD, KATHRYN</t>
  </si>
  <si>
    <t>BINFORD, R. ELLEN</t>
  </si>
  <si>
    <t>SOBIN, ANNEMARIE A.</t>
  </si>
  <si>
    <t>DUTTON, DIANE K.</t>
  </si>
  <si>
    <t>KUSEL, JIMIE</t>
  </si>
  <si>
    <t>BRONSON, CAROL</t>
  </si>
  <si>
    <t>WOODS, ANTHONY J.</t>
  </si>
  <si>
    <t>MARTIN, PRUDENCE J.</t>
  </si>
  <si>
    <t>MCINTYRE, KIM</t>
  </si>
  <si>
    <t>MCDANIEL, SEAN</t>
  </si>
  <si>
    <t>LYTLE, ALAN</t>
  </si>
  <si>
    <t>THOMAS, KAREN E.</t>
  </si>
  <si>
    <t>BRANCH, ARABY X.</t>
  </si>
  <si>
    <t>GUSTAFSON, W. ERIC</t>
  </si>
  <si>
    <t>BATES, MICHELLE</t>
  </si>
  <si>
    <t>BEARD, WILLIAM K.</t>
  </si>
  <si>
    <t>LEMMER JR., ROBERT E.</t>
  </si>
  <si>
    <t>ESWARAN, HARI</t>
  </si>
  <si>
    <t>59081C</t>
  </si>
  <si>
    <t>99281C</t>
  </si>
  <si>
    <t>Cross Country Track (Women)</t>
  </si>
  <si>
    <t>ELIAS, KIRK</t>
  </si>
  <si>
    <t>55082C</t>
  </si>
  <si>
    <t>Cross Country Track (Men)</t>
  </si>
  <si>
    <t>55083C</t>
  </si>
  <si>
    <t>Golf (Men)</t>
  </si>
  <si>
    <t>NORWOOD, WYNTON C.</t>
  </si>
  <si>
    <t>55084C</t>
  </si>
  <si>
    <t xml:space="preserve">LIBRARY ACADEMIC TECH III </t>
  </si>
  <si>
    <t>TIPPETT, BRENDA L.</t>
  </si>
  <si>
    <t>WILLIAMS, CURTIS B.</t>
  </si>
  <si>
    <t>WADE, VALERIE L.</t>
  </si>
  <si>
    <t>SCHLUMBERGER, ANN B.</t>
  </si>
  <si>
    <t>SMITH, VIRGINIA W.</t>
  </si>
  <si>
    <t>THOMPSON, PATRICIA P.</t>
  </si>
  <si>
    <t>WOMACK, BRENDA A.</t>
  </si>
  <si>
    <t>STRICKLAND, LANA D.</t>
  </si>
  <si>
    <t>BUTENSCHOEN, JAN</t>
  </si>
  <si>
    <t>ALEXANDER, ANITA J.</t>
  </si>
  <si>
    <t>LECTURER FUND</t>
  </si>
  <si>
    <t>Nursing Lab</t>
  </si>
  <si>
    <t>Physics and Astronomy</t>
  </si>
  <si>
    <t>ROLLEFSON, A.A.</t>
  </si>
  <si>
    <t>BRAITHWAITE, WILFRED J.</t>
  </si>
  <si>
    <t>HENSLEE, RANDY L.</t>
  </si>
  <si>
    <t>55090C</t>
  </si>
  <si>
    <t>UALR Residence Hall</t>
  </si>
  <si>
    <t>STANLEY, MARK</t>
  </si>
  <si>
    <t>HENSLEE, POLLY A.</t>
  </si>
  <si>
    <t>99291C</t>
  </si>
  <si>
    <t>EXTRA LABOR POOL</t>
  </si>
  <si>
    <t>55091C</t>
  </si>
  <si>
    <t>Duplicating Center</t>
  </si>
  <si>
    <t>BOOKS AND SUPPLIES</t>
  </si>
  <si>
    <t>Law School - Library Fee</t>
  </si>
  <si>
    <t>Law School - Library Computer Lab</t>
  </si>
  <si>
    <t>Instructional Technology</t>
  </si>
  <si>
    <t>MIDDLETON, FRANCES T.</t>
  </si>
  <si>
    <t>ROBERTSON, SANDRA L.</t>
  </si>
  <si>
    <t>SIMS, LISA R.</t>
  </si>
  <si>
    <t>DUDOICH, KRIS T.</t>
  </si>
  <si>
    <t>GOLDNER JR., CHARLES W.</t>
  </si>
  <si>
    <t>MILAM, KELLYE R.</t>
  </si>
  <si>
    <t>CARDER, COURTNEY K.</t>
  </si>
  <si>
    <t>HUNE, JENNIFER B.</t>
  </si>
  <si>
    <t>DEDNER, NAKIA A.</t>
  </si>
  <si>
    <t>MONCRIEF, SIDNEY A.</t>
  </si>
  <si>
    <t>WATSON, GRETCHEN</t>
  </si>
  <si>
    <t>ASSOC VICE CHANCELLOR</t>
  </si>
  <si>
    <t>TICKET MANAGER</t>
  </si>
  <si>
    <t>DIR/ADMINISTRATIVE SERVICE</t>
  </si>
  <si>
    <t>ASSOC DIR/COMPUTING SVCS</t>
  </si>
  <si>
    <t>HILL, CATHERINE A.</t>
  </si>
  <si>
    <t>Vice Chancellor for Educational and Student Services</t>
  </si>
  <si>
    <t>DONALDSON, CHARLES W.</t>
  </si>
  <si>
    <t>RICE, GERALD M.</t>
  </si>
  <si>
    <t>College View</t>
  </si>
  <si>
    <t>Physical Plant - Plant Maintenance</t>
  </si>
  <si>
    <t>ROACHELL, BOBBY G.</t>
  </si>
  <si>
    <t>CHAMBERLIN, GARY D.</t>
  </si>
  <si>
    <t>UNIVERSITY PROFESSOR</t>
  </si>
  <si>
    <t>BRADLEY, ROBERT H.</t>
  </si>
  <si>
    <t>HERRING, ROGER D.</t>
  </si>
  <si>
    <t>KENNEDY, ROBERT L.</t>
  </si>
  <si>
    <t>RESEARCH ASSISTANT</t>
  </si>
  <si>
    <t>SECRETARY II</t>
  </si>
  <si>
    <t>ADMINISTRATIVE ASSISTANT I</t>
  </si>
  <si>
    <t>EXTRA LABOR FUND</t>
  </si>
  <si>
    <t>EXEC ASSIST TO CHANCELLOR</t>
  </si>
  <si>
    <t>ADMINISTRATIVE ASSIT I</t>
  </si>
  <si>
    <t>VC &amp; PROVOST</t>
  </si>
  <si>
    <t>WAYMAN, NEVA F.</t>
  </si>
  <si>
    <t>WINGFIELD, VAUGHN S.</t>
  </si>
  <si>
    <t>MCMANUS, MARK L.</t>
  </si>
  <si>
    <t>DAVIS, PATRICIA C.</t>
  </si>
  <si>
    <t>DANNAWAY, STEVEN M.</t>
  </si>
  <si>
    <t>KARLSON, NICHOLAS</t>
  </si>
  <si>
    <t>JAMES, ARLOS F.</t>
  </si>
  <si>
    <t>RUNION, KEITH B.</t>
  </si>
  <si>
    <t>SUTER, WILLIAM N.</t>
  </si>
  <si>
    <t>SOMERS, PATRICIA</t>
  </si>
  <si>
    <t>CARAM, CHRIS A.</t>
  </si>
  <si>
    <t>FRANKLIN, KATHRYN K.</t>
  </si>
  <si>
    <t>ROWAN, TAMMY J.</t>
  </si>
  <si>
    <t>AUDIOVISUAL LAB ASSISTANT</t>
  </si>
  <si>
    <t>LENOE, MATTHEW E.</t>
  </si>
  <si>
    <t>ESHLEMAN, ANDREW S.</t>
  </si>
  <si>
    <t>CARDER, COURTNEY</t>
  </si>
  <si>
    <t>HILL, LISA</t>
  </si>
  <si>
    <t>WEEKLEY, DAVID</t>
  </si>
  <si>
    <t>ROBERSON, KAREN L.</t>
  </si>
  <si>
    <t>LEE, JONI C.</t>
  </si>
  <si>
    <t>LEE, GEORGE L.</t>
  </si>
  <si>
    <t>WHITFIELD, DIERDRE</t>
  </si>
  <si>
    <t>Associate Vice Chancellor for Facilities and Services</t>
  </si>
  <si>
    <t>MILAZZO, CYNTHIA D.</t>
  </si>
  <si>
    <t>R98967</t>
  </si>
  <si>
    <t>R98966</t>
  </si>
  <si>
    <t>R98965</t>
  </si>
  <si>
    <t>R98964</t>
  </si>
  <si>
    <t>R98963</t>
  </si>
  <si>
    <t>R98962</t>
  </si>
  <si>
    <t>R98961</t>
  </si>
  <si>
    <t>R98960</t>
  </si>
  <si>
    <t>R98959</t>
  </si>
  <si>
    <t>R98958</t>
  </si>
  <si>
    <t>R98957</t>
  </si>
  <si>
    <t>R98956</t>
  </si>
  <si>
    <t>R98955</t>
  </si>
  <si>
    <t>R98954</t>
  </si>
  <si>
    <t>R98953</t>
  </si>
  <si>
    <t>R98952</t>
  </si>
  <si>
    <t>R98951</t>
  </si>
  <si>
    <t>R98950</t>
  </si>
  <si>
    <t>R98949</t>
  </si>
  <si>
    <t>R98948</t>
  </si>
  <si>
    <t>R98947</t>
  </si>
  <si>
    <t>R98946</t>
  </si>
  <si>
    <t>R98945</t>
  </si>
  <si>
    <t>R98944</t>
  </si>
  <si>
    <t>R98943</t>
  </si>
  <si>
    <t>R98942</t>
  </si>
  <si>
    <t>R98941</t>
  </si>
  <si>
    <t>R98940</t>
  </si>
  <si>
    <t>R98939</t>
  </si>
  <si>
    <t>R98938</t>
  </si>
  <si>
    <t>R98937</t>
  </si>
  <si>
    <t>R98936</t>
  </si>
  <si>
    <t>R98935</t>
  </si>
  <si>
    <t>R98934</t>
  </si>
  <si>
    <t>R98933</t>
  </si>
  <si>
    <t>R98932</t>
  </si>
  <si>
    <t>R98931</t>
  </si>
  <si>
    <t>R98930</t>
  </si>
  <si>
    <t>R98929</t>
  </si>
  <si>
    <t>R98928</t>
  </si>
  <si>
    <t>R98927</t>
  </si>
  <si>
    <t>R98926</t>
  </si>
  <si>
    <t>R98925</t>
  </si>
  <si>
    <t>R98924</t>
  </si>
  <si>
    <t>R98923</t>
  </si>
  <si>
    <t>R98922</t>
  </si>
  <si>
    <t>R98921</t>
  </si>
  <si>
    <t>R98920</t>
  </si>
  <si>
    <t>R98919</t>
  </si>
  <si>
    <t>R98918</t>
  </si>
  <si>
    <t>R98917</t>
  </si>
  <si>
    <t>R98916</t>
  </si>
  <si>
    <t>R98915</t>
  </si>
  <si>
    <t>R98914</t>
  </si>
  <si>
    <t>R98913</t>
  </si>
  <si>
    <t>R98912</t>
  </si>
  <si>
    <t>R98911</t>
  </si>
  <si>
    <t>R98910</t>
  </si>
  <si>
    <t>R98909</t>
  </si>
  <si>
    <t>R98908</t>
  </si>
  <si>
    <t>R98907</t>
  </si>
  <si>
    <t>R98906</t>
  </si>
  <si>
    <t>R98905</t>
  </si>
  <si>
    <t>R98904</t>
  </si>
  <si>
    <t>R98903</t>
  </si>
  <si>
    <t>R98902</t>
  </si>
  <si>
    <t>R98901</t>
  </si>
  <si>
    <t>R98900</t>
  </si>
  <si>
    <t>R98899</t>
  </si>
  <si>
    <t>R98898</t>
  </si>
  <si>
    <t>R98897</t>
  </si>
  <si>
    <t>R98896</t>
  </si>
  <si>
    <t>R98895</t>
  </si>
  <si>
    <t>R98894</t>
  </si>
  <si>
    <t>R98893</t>
  </si>
  <si>
    <t>R98892</t>
  </si>
  <si>
    <t>R98891</t>
  </si>
  <si>
    <t>R98890</t>
  </si>
  <si>
    <t>R98889</t>
  </si>
  <si>
    <t>R98888</t>
  </si>
  <si>
    <t>R98887</t>
  </si>
  <si>
    <t>R98886</t>
  </si>
  <si>
    <t>R98885</t>
  </si>
  <si>
    <t>R98884</t>
  </si>
  <si>
    <t>R98883</t>
  </si>
  <si>
    <t>R98882</t>
  </si>
  <si>
    <t>R98881</t>
  </si>
  <si>
    <t>R98880</t>
  </si>
  <si>
    <t>R98879</t>
  </si>
  <si>
    <t>R98878</t>
  </si>
  <si>
    <t>R98877</t>
  </si>
  <si>
    <t>R98876</t>
  </si>
  <si>
    <t>R98875</t>
  </si>
  <si>
    <t>R98874</t>
  </si>
  <si>
    <t>R98873</t>
  </si>
  <si>
    <t>R98872</t>
  </si>
  <si>
    <t>R98871</t>
  </si>
  <si>
    <t>R98870</t>
  </si>
  <si>
    <t>R98869</t>
  </si>
  <si>
    <t>R98868</t>
  </si>
  <si>
    <t>R98867</t>
  </si>
  <si>
    <t>R98866</t>
  </si>
  <si>
    <t>R98865</t>
  </si>
  <si>
    <t>R98864</t>
  </si>
  <si>
    <t>R98863</t>
  </si>
  <si>
    <t>R98862</t>
  </si>
  <si>
    <t>R98861</t>
  </si>
  <si>
    <t>R98860</t>
  </si>
  <si>
    <t>R98859</t>
  </si>
  <si>
    <t>R98858</t>
  </si>
  <si>
    <t>R98857</t>
  </si>
  <si>
    <t>R98856</t>
  </si>
  <si>
    <t>R98855</t>
  </si>
  <si>
    <t>R98854</t>
  </si>
  <si>
    <t>WILLIS, MARVA J.</t>
  </si>
  <si>
    <t>BALLARD, KAREN K.</t>
  </si>
  <si>
    <t>GREEN, WAYNE D.</t>
  </si>
  <si>
    <t>TURNER, LENZO</t>
  </si>
  <si>
    <t>MOORE, EDWIN</t>
  </si>
  <si>
    <t>WALLACE, BETTY I.</t>
  </si>
  <si>
    <t>CUSTODIAL WORKER II</t>
  </si>
  <si>
    <t>CLEVELAND, MARY L.</t>
  </si>
  <si>
    <t>HADDOCK, PAUL W.</t>
  </si>
  <si>
    <t>MILLSAP, LEE C.</t>
  </si>
  <si>
    <t>LOVE, GLORIA</t>
  </si>
  <si>
    <t>HARPER, MICHAEL L.</t>
  </si>
  <si>
    <t>SHOPE, JUNE</t>
  </si>
  <si>
    <t>WIMBERLY, ERNEST J.</t>
  </si>
  <si>
    <t>JOHNSON, EDWARD</t>
  </si>
  <si>
    <t>CUSTODIAL WORKER I</t>
  </si>
  <si>
    <t>BRADY, MARTIN R.</t>
  </si>
  <si>
    <t>BRYANT, VIVIAN E.</t>
  </si>
  <si>
    <t>DAVIS, GENEVA N.</t>
  </si>
  <si>
    <t>ADVANCEMENT OFFICER</t>
  </si>
  <si>
    <t>MANGIAMELE, LESLIE J.</t>
  </si>
  <si>
    <t>PROGRAM COORD./DIRECTOR OF COMMUNITY</t>
  </si>
  <si>
    <t>SCHOOL</t>
  </si>
  <si>
    <t>ENGLISH, ARTHUR</t>
  </si>
  <si>
    <t>SCRANTON, MARGARET E.</t>
  </si>
  <si>
    <t>SNORTLAND, NEIL E.</t>
  </si>
  <si>
    <t>ANDA, MICHAEL O.</t>
  </si>
  <si>
    <t>CLEMMER, ANN V.</t>
  </si>
  <si>
    <t>Dean-College of Education</t>
  </si>
  <si>
    <t>SEWALL, ANGELA M.</t>
  </si>
  <si>
    <t xml:space="preserve">SMITH, TOM E. </t>
  </si>
  <si>
    <t>PRESLEY, MARGARET A.</t>
  </si>
  <si>
    <t>American Studies</t>
  </si>
  <si>
    <t>Oral History Program</t>
  </si>
  <si>
    <t>Center for Arkansas Studies</t>
  </si>
  <si>
    <t>Black Studies Program</t>
  </si>
  <si>
    <t>Women's Studies Program</t>
  </si>
  <si>
    <t>Urban Studies and Design</t>
  </si>
  <si>
    <t>WITTENBERG, GEORGE H.</t>
  </si>
  <si>
    <t>MEGINNES, CONNIE M.</t>
  </si>
  <si>
    <t>NICHOLSON, ELIZABETH A.</t>
  </si>
  <si>
    <t>LECTURER</t>
  </si>
  <si>
    <t>Biology</t>
  </si>
  <si>
    <t>MORGANS, LELAND F.</t>
  </si>
  <si>
    <t>BAEYENS, D.A.</t>
  </si>
  <si>
    <t>FERGUSON, DALE V.</t>
  </si>
  <si>
    <t>LANZA, JANET</t>
  </si>
  <si>
    <t>LYNCH, THOMAS J.</t>
  </si>
  <si>
    <t>MCGEE JR, NEWMAN E.</t>
  </si>
  <si>
    <t>Scholarships - Harper Boyd Matching</t>
  </si>
  <si>
    <t>HARPER BOYD MATCHING</t>
  </si>
  <si>
    <t>Scholarships - K-4 Crusade</t>
  </si>
  <si>
    <t>K-4 CRUSADE</t>
  </si>
  <si>
    <t>FEDERAL MATCHING FUNDS</t>
  </si>
  <si>
    <t>BELL, PAULETTE M.</t>
  </si>
  <si>
    <t>BELL, NANETTE</t>
  </si>
  <si>
    <t>SAMPSON, JANICE</t>
  </si>
  <si>
    <t>YANG, LISETTE</t>
  </si>
  <si>
    <t>LEWIS, ROY A.</t>
  </si>
  <si>
    <t>Student Financial Services</t>
  </si>
  <si>
    <t>WICKLIFFE, CARI S.</t>
  </si>
  <si>
    <t>KOSSLER-HULSEY, KAREN</t>
  </si>
  <si>
    <t>CALHOUN, STACIE A.</t>
  </si>
  <si>
    <t>JAMES-BARNES, M. E.</t>
  </si>
  <si>
    <t>NELSON, BRENT A.</t>
  </si>
  <si>
    <t>HANNAH, DIANNE</t>
  </si>
  <si>
    <t>GREER, JIMMY S.</t>
  </si>
  <si>
    <t>ROOK, JAMES S.</t>
  </si>
  <si>
    <t>MCGEE, DARRYL K.</t>
  </si>
  <si>
    <t>AUSTIN, JAN L.</t>
  </si>
  <si>
    <t>KNUTSON, R.L.</t>
  </si>
  <si>
    <t>LEVERNIER, JAMES A.</t>
  </si>
  <si>
    <t>LITTLEFIELD JR, D.F.</t>
  </si>
  <si>
    <t>MURPHY, RUSSELL E.</t>
  </si>
  <si>
    <t>PARINS, JAMES W.</t>
  </si>
  <si>
    <t>PARINS, MARYLYN J.</t>
  </si>
  <si>
    <t>SOBIN, NICHOLAS J.</t>
  </si>
  <si>
    <t>EARLY RETIREMENT RESERVE</t>
  </si>
  <si>
    <t>MCMAINS, JOHN P.</t>
  </si>
  <si>
    <t>CONST/MAINT PROJECT EST.</t>
  </si>
  <si>
    <t>99280B</t>
  </si>
  <si>
    <t>55080B</t>
  </si>
  <si>
    <t>R99113</t>
  </si>
  <si>
    <t>R99112</t>
  </si>
  <si>
    <t>R99111</t>
  </si>
  <si>
    <t>R99110</t>
  </si>
  <si>
    <t>R99109</t>
  </si>
  <si>
    <t>R99108</t>
  </si>
  <si>
    <t>R99107</t>
  </si>
  <si>
    <t>R99106</t>
  </si>
  <si>
    <t>R99105</t>
  </si>
  <si>
    <t>R99104</t>
  </si>
  <si>
    <t>R99103</t>
  </si>
  <si>
    <t>R99102</t>
  </si>
  <si>
    <t>R99101</t>
  </si>
  <si>
    <t>R99100</t>
  </si>
  <si>
    <t>R99099</t>
  </si>
  <si>
    <t>R99098</t>
  </si>
  <si>
    <t>R99096</t>
  </si>
  <si>
    <t>R99095</t>
  </si>
  <si>
    <t>R99094</t>
  </si>
  <si>
    <t>R99092</t>
  </si>
  <si>
    <t>R99091</t>
  </si>
  <si>
    <t>R99090</t>
  </si>
  <si>
    <t>R99089</t>
  </si>
  <si>
    <t>R99088</t>
  </si>
  <si>
    <t>R99087</t>
  </si>
  <si>
    <t>R99086</t>
  </si>
  <si>
    <t>R99085</t>
  </si>
  <si>
    <t>R99084</t>
  </si>
  <si>
    <t>R99083</t>
  </si>
  <si>
    <t>R99082</t>
  </si>
  <si>
    <t>R99081</t>
  </si>
  <si>
    <t>R99080</t>
  </si>
  <si>
    <t>R99079</t>
  </si>
  <si>
    <t>R99078</t>
  </si>
  <si>
    <t>R99077</t>
  </si>
  <si>
    <t>R99076</t>
  </si>
  <si>
    <t>R99075</t>
  </si>
  <si>
    <t>R99074</t>
  </si>
  <si>
    <t>R99073</t>
  </si>
  <si>
    <t>R99072</t>
  </si>
  <si>
    <t>R99071</t>
  </si>
  <si>
    <t>R99070</t>
  </si>
  <si>
    <t>R99069</t>
  </si>
  <si>
    <t>R99068</t>
  </si>
  <si>
    <t>R99067</t>
  </si>
  <si>
    <t>R99066</t>
  </si>
  <si>
    <t>R99065</t>
  </si>
  <si>
    <t>R99064</t>
  </si>
  <si>
    <t>R99062</t>
  </si>
  <si>
    <t>R99061</t>
  </si>
  <si>
    <t>R99060</t>
  </si>
  <si>
    <t>R99057</t>
  </si>
  <si>
    <t>R99056</t>
  </si>
  <si>
    <t>R99054</t>
  </si>
  <si>
    <t>R99053</t>
  </si>
  <si>
    <t>R99052</t>
  </si>
  <si>
    <t>R99051</t>
  </si>
  <si>
    <t>R99050</t>
  </si>
  <si>
    <t>R99049</t>
  </si>
  <si>
    <t>R99047</t>
  </si>
  <si>
    <t>R99046</t>
  </si>
  <si>
    <t>R99045</t>
  </si>
  <si>
    <t>R99044</t>
  </si>
  <si>
    <t>R99043</t>
  </si>
  <si>
    <t>R99042</t>
  </si>
  <si>
    <t>R99041</t>
  </si>
  <si>
    <t>R99040</t>
  </si>
  <si>
    <t>R99039</t>
  </si>
  <si>
    <t>R99038</t>
  </si>
  <si>
    <t>R99037</t>
  </si>
  <si>
    <t>R99036</t>
  </si>
  <si>
    <t>R99035</t>
  </si>
  <si>
    <t>R99034</t>
  </si>
  <si>
    <t>R99033</t>
  </si>
  <si>
    <t>R99032</t>
  </si>
  <si>
    <t>R99031</t>
  </si>
  <si>
    <t>R99029</t>
  </si>
  <si>
    <t>R99027</t>
  </si>
  <si>
    <t>R99026</t>
  </si>
  <si>
    <t>R99025</t>
  </si>
  <si>
    <t>R99024</t>
  </si>
  <si>
    <t>R99023</t>
  </si>
  <si>
    <t>R99022</t>
  </si>
  <si>
    <t>R99021</t>
  </si>
  <si>
    <t>R99020</t>
  </si>
  <si>
    <t>R99019</t>
  </si>
  <si>
    <t>R99018</t>
  </si>
  <si>
    <t>R99017</t>
  </si>
  <si>
    <t>R99016</t>
  </si>
  <si>
    <t>R99014</t>
  </si>
  <si>
    <t>R99013</t>
  </si>
  <si>
    <t>R99010</t>
  </si>
  <si>
    <t>R99005</t>
  </si>
  <si>
    <t>R99004</t>
  </si>
  <si>
    <t>R99003</t>
  </si>
  <si>
    <t>R99002</t>
  </si>
  <si>
    <t>R99001</t>
  </si>
  <si>
    <t>R99000</t>
  </si>
  <si>
    <t>R98999</t>
  </si>
  <si>
    <t>R98998</t>
  </si>
  <si>
    <t>R98997</t>
  </si>
  <si>
    <t>R98996</t>
  </si>
  <si>
    <t>R98995</t>
  </si>
  <si>
    <t>R98994</t>
  </si>
  <si>
    <t>R98993</t>
  </si>
  <si>
    <t>R98992</t>
  </si>
  <si>
    <t>R98991</t>
  </si>
  <si>
    <t>R98990</t>
  </si>
  <si>
    <t>R98989</t>
  </si>
  <si>
    <t>R98988</t>
  </si>
  <si>
    <t>R98987</t>
  </si>
  <si>
    <t>R98986</t>
  </si>
  <si>
    <t>R98985</t>
  </si>
  <si>
    <t>R98984</t>
  </si>
  <si>
    <t>R98983</t>
  </si>
  <si>
    <t>R98982</t>
  </si>
  <si>
    <t>R98981</t>
  </si>
  <si>
    <t>R98980</t>
  </si>
  <si>
    <t>R98979</t>
  </si>
  <si>
    <t>R98978</t>
  </si>
  <si>
    <t>R98977</t>
  </si>
  <si>
    <t>R98976</t>
  </si>
  <si>
    <t>R98975</t>
  </si>
  <si>
    <t>R98974</t>
  </si>
  <si>
    <t>R98973</t>
  </si>
  <si>
    <t>R98972</t>
  </si>
  <si>
    <t>R98971</t>
  </si>
  <si>
    <t>R98970</t>
  </si>
  <si>
    <t>R98969</t>
  </si>
  <si>
    <t>R98968</t>
  </si>
  <si>
    <t>RUSSELL, RANDY</t>
  </si>
  <si>
    <t>STONE, WARREN</t>
  </si>
  <si>
    <t>TUDOR, THOMAS</t>
  </si>
  <si>
    <t>JONES, KIM</t>
  </si>
  <si>
    <t>EVDY, RUTH-RAINES</t>
  </si>
  <si>
    <t>LINDSEY, ANN</t>
  </si>
  <si>
    <t>ADKINS, KAREN</t>
  </si>
  <si>
    <t>WATTS, GORDON</t>
  </si>
  <si>
    <t>HOLLAND, DANIEL</t>
  </si>
  <si>
    <t>ZHAO, WEI</t>
  </si>
  <si>
    <t>JUDE, ANTHONY</t>
  </si>
  <si>
    <t>AL-SHUKRI, HAYDAR</t>
  </si>
  <si>
    <t>MCMILLAN, THOMAS</t>
  </si>
  <si>
    <t>SONG, YEONG-TAE</t>
  </si>
  <si>
    <t>PERKINS, GAIL</t>
  </si>
  <si>
    <t>COTHAM, E. RALPH</t>
  </si>
  <si>
    <t>ELLSWORTH, E. VICTOR</t>
  </si>
  <si>
    <t>WILLIAMS, DEBORAH N.</t>
  </si>
  <si>
    <t>R99649</t>
  </si>
  <si>
    <t>R99648</t>
  </si>
  <si>
    <t>R99647</t>
  </si>
  <si>
    <t>R99646</t>
  </si>
  <si>
    <t>R99645</t>
  </si>
  <si>
    <t>R99644</t>
  </si>
  <si>
    <t>R99643</t>
  </si>
  <si>
    <t>R99642</t>
  </si>
  <si>
    <t>R99641</t>
  </si>
  <si>
    <t>R99640</t>
  </si>
  <si>
    <t>R99639</t>
  </si>
  <si>
    <t>R99638</t>
  </si>
  <si>
    <t>R99637</t>
  </si>
  <si>
    <t>R99636</t>
  </si>
  <si>
    <t>R99635</t>
  </si>
  <si>
    <t>R99634</t>
  </si>
  <si>
    <t>R99633</t>
  </si>
  <si>
    <t>R99632</t>
  </si>
  <si>
    <t>R99631</t>
  </si>
  <si>
    <t>R99630</t>
  </si>
  <si>
    <t>R99629</t>
  </si>
  <si>
    <t>R99628</t>
  </si>
  <si>
    <t>R99627</t>
  </si>
  <si>
    <t>R99626</t>
  </si>
  <si>
    <t>R99625</t>
  </si>
  <si>
    <t>R99624</t>
  </si>
  <si>
    <t>R99623</t>
  </si>
  <si>
    <t>R99622</t>
  </si>
  <si>
    <t>R99621</t>
  </si>
  <si>
    <t>R99620</t>
  </si>
  <si>
    <t>R99619</t>
  </si>
  <si>
    <t>R99618</t>
  </si>
  <si>
    <t>R99617</t>
  </si>
  <si>
    <t>R99616</t>
  </si>
  <si>
    <t>R99615</t>
  </si>
  <si>
    <t>R99614</t>
  </si>
  <si>
    <t>R99613</t>
  </si>
  <si>
    <t>R99612</t>
  </si>
  <si>
    <t>R99611</t>
  </si>
  <si>
    <t>R99610</t>
  </si>
  <si>
    <t>R99609</t>
  </si>
  <si>
    <t>R99608</t>
  </si>
  <si>
    <t>R99607</t>
  </si>
  <si>
    <t>R99606</t>
  </si>
  <si>
    <t>R99605</t>
  </si>
  <si>
    <t>R99604</t>
  </si>
  <si>
    <t>R99603</t>
  </si>
  <si>
    <t>R99602</t>
  </si>
  <si>
    <t>R99601</t>
  </si>
  <si>
    <t>R99600</t>
  </si>
  <si>
    <t>R99599</t>
  </si>
  <si>
    <t>R99598</t>
  </si>
  <si>
    <t>R99597</t>
  </si>
  <si>
    <t>R99596</t>
  </si>
  <si>
    <t>R99595</t>
  </si>
  <si>
    <t>R99594</t>
  </si>
  <si>
    <t>R99593</t>
  </si>
  <si>
    <t>R99592</t>
  </si>
  <si>
    <t>R99591</t>
  </si>
  <si>
    <t>R99590</t>
  </si>
  <si>
    <t>R99589</t>
  </si>
  <si>
    <t>R99588</t>
  </si>
  <si>
    <t>R99587</t>
  </si>
  <si>
    <t>JAMES, SHIRLEY A.</t>
  </si>
  <si>
    <t>ARCHER, PAUL T.</t>
  </si>
  <si>
    <t>BELK, DOROTHY J.</t>
  </si>
  <si>
    <t>HAVNIEAR, LOIS M.</t>
  </si>
  <si>
    <t xml:space="preserve">ACCOUNTING TECH. II </t>
  </si>
  <si>
    <t>BENZ, KARL E.</t>
  </si>
  <si>
    <t>TAYLOR, CYNTHIA L.</t>
  </si>
  <si>
    <t>Academic Rents</t>
  </si>
  <si>
    <t>ACADEMIC RENTS</t>
  </si>
  <si>
    <t>Transfer to Plant Funds - Auxiliaries</t>
  </si>
  <si>
    <t>Length of Service Awards</t>
  </si>
  <si>
    <t>General Contingency</t>
  </si>
  <si>
    <t>Funded Depreciation Reserve</t>
  </si>
  <si>
    <t>Student Fee Transfer - Student Union Operations - Auxiliary</t>
  </si>
  <si>
    <t>STUDENT UNION OPERATIONS</t>
  </si>
  <si>
    <t>MATHIOWETZ, JUDY K.</t>
  </si>
  <si>
    <t>SUMMER SALARY RESERVE</t>
  </si>
  <si>
    <t>Law School Orientation</t>
  </si>
  <si>
    <t>Law School Admissions, Transcript &amp; Drop/Add</t>
  </si>
  <si>
    <t>MAINTENANCE-ADMISSIONS</t>
  </si>
  <si>
    <t>MAINTENANCE-TRANSCRIPTS</t>
  </si>
  <si>
    <t>MAINTENANCE-DROP/ADD</t>
  </si>
  <si>
    <t>SNOWDEN JR., JESSE O.</t>
  </si>
  <si>
    <t>BURKS, SANDY R.</t>
  </si>
  <si>
    <t>UMPHERS, IDA S.</t>
  </si>
  <si>
    <t>WALLACE, STEWART G.</t>
  </si>
  <si>
    <t>WOOD, DIANNE D.</t>
  </si>
  <si>
    <t>FREEMAN, CHANDA L.</t>
  </si>
  <si>
    <t>Math Lab</t>
  </si>
  <si>
    <t>Math Education Science Lab</t>
  </si>
  <si>
    <t>MATH SCIENCE LAB</t>
  </si>
  <si>
    <t>Computer Science</t>
  </si>
  <si>
    <t>AITCHISON, JADA A.</t>
  </si>
  <si>
    <t>Scholarships - Criminal Justice</t>
  </si>
  <si>
    <t>CRIMINAL JUSTICE</t>
  </si>
  <si>
    <t>Scholarships - Over 60 Tuition Credit</t>
  </si>
  <si>
    <t>OVER 60 TUITION CREDIT</t>
  </si>
  <si>
    <t>Scholarships - Out-of-State Fees</t>
  </si>
  <si>
    <t>OUT-OF-STATE FEES</t>
  </si>
  <si>
    <t>Scholarships - Tuition Remission</t>
  </si>
  <si>
    <t>TUITION REMISSION NON-UALR</t>
  </si>
  <si>
    <t>Transfers to Debt Retirement</t>
  </si>
  <si>
    <t>FOSTER, LYNN</t>
  </si>
  <si>
    <t>KINSEY, DIANNA L.</t>
  </si>
  <si>
    <t>PROBASCO, JEAN M.</t>
  </si>
  <si>
    <t>FLEMING, ROBERT M.</t>
  </si>
  <si>
    <t>SPEED, JULIE</t>
  </si>
  <si>
    <t>KING, CAROL A.</t>
  </si>
  <si>
    <t>BURNETT, ROSEMARY S.</t>
  </si>
  <si>
    <t>AHLEN, LINDA S.</t>
  </si>
  <si>
    <t>LINDQUIST, DAVID</t>
  </si>
  <si>
    <t>SANDERS, KATHY A.</t>
  </si>
  <si>
    <t>ASST DIR LIBRARY/ASSOCIATE PROFESSOR</t>
  </si>
  <si>
    <t>TRAYLOR JR., W.H.</t>
  </si>
  <si>
    <t>MACHEAK, CAROLYN I.</t>
  </si>
  <si>
    <t>BUTLER, SHARRON N.</t>
  </si>
  <si>
    <t>55075C</t>
  </si>
  <si>
    <t>99275C</t>
  </si>
  <si>
    <t>KELLEY, SHARON S.</t>
  </si>
  <si>
    <t>INSTRUCTOR</t>
  </si>
  <si>
    <t>HOLZER, LINDA R.</t>
  </si>
  <si>
    <t>Director - Athletics</t>
  </si>
  <si>
    <t>MELLO, RICHARD M.</t>
  </si>
  <si>
    <t>DIRECTOR OF ATHLETICS</t>
  </si>
  <si>
    <t>ASSISTANT COACH</t>
  </si>
  <si>
    <t>HENRY, GEORGIANA K.</t>
  </si>
  <si>
    <t>Earth Science Lab</t>
  </si>
  <si>
    <t>Applied Sciences</t>
  </si>
  <si>
    <t>MAZUMDER, MALAY K.</t>
  </si>
  <si>
    <t>HAWK, ROGER M.</t>
  </si>
  <si>
    <t>HUDSON, MITCHELL K.</t>
  </si>
  <si>
    <t>ADAMS, ALOIS J.</t>
  </si>
  <si>
    <t>ANDERSON, GARY T.</t>
  </si>
  <si>
    <t>SIMS, ROBERT A.</t>
  </si>
  <si>
    <t>SPORTS INFORMATION DIRECTOR</t>
  </si>
  <si>
    <t>Trojans In Motion</t>
  </si>
  <si>
    <t>Basketball (Men)</t>
  </si>
  <si>
    <t>ACCREDITATION SELF STUDY</t>
  </si>
  <si>
    <t>OFF-CAMPUS FACILITIES</t>
  </si>
  <si>
    <t>BULLETINS &amp; BROCHURES</t>
  </si>
  <si>
    <t>INSTITUTIONAL DUES</t>
  </si>
  <si>
    <t>COMMENCEMENT EXPENSE</t>
  </si>
  <si>
    <t>COMMENCEMENT EXPENSE - LAW SCHOOL</t>
  </si>
  <si>
    <t>LAW SCHOOL INDIRECT COSTS</t>
  </si>
  <si>
    <t>GROUP HEALTH INSURANCE</t>
  </si>
  <si>
    <t>HEALTH CARE INCENTIVES</t>
  </si>
  <si>
    <t>EMPLOYEE TUITION REMISSION</t>
  </si>
  <si>
    <t>TUITION REMISSION - LAW</t>
  </si>
  <si>
    <t>CONTINGENCY FOR BENEFITS</t>
  </si>
  <si>
    <t>EMPLOYEE ASSISTANCE PROG.</t>
  </si>
  <si>
    <t>DSC FAC/STAFF USE</t>
  </si>
  <si>
    <t>ADMINISTRATIVE PROGRAM FEE</t>
  </si>
  <si>
    <t>COLLECTION FEES</t>
  </si>
  <si>
    <t>CONSULTANT FEES</t>
  </si>
  <si>
    <t>Human Resource Services</t>
  </si>
  <si>
    <t>COATES, ROBERT E.</t>
  </si>
  <si>
    <t>VOORHIES, JAMES R.</t>
  </si>
  <si>
    <t>99241B</t>
  </si>
  <si>
    <t>67042B</t>
  </si>
  <si>
    <t>55042B</t>
  </si>
  <si>
    <t>SERVICE CHARGE</t>
  </si>
  <si>
    <t>Speech and Hearing Clinic</t>
  </si>
  <si>
    <t>HIGHLEY, PATRICIA A.</t>
  </si>
  <si>
    <t>55045B</t>
  </si>
  <si>
    <t>Gifted Programs</t>
  </si>
  <si>
    <t>INSTRUCTOR/COORDINATOR</t>
  </si>
  <si>
    <t>55047B</t>
  </si>
  <si>
    <t>Graduate Institute of Technology - Educational Activities</t>
  </si>
  <si>
    <t>HAWKINS, SUE B.</t>
  </si>
  <si>
    <t>TACKETT, BERNICA</t>
  </si>
  <si>
    <t>55048B</t>
  </si>
  <si>
    <t>Planetarium</t>
  </si>
  <si>
    <t>99249B</t>
  </si>
  <si>
    <t>55049B</t>
  </si>
  <si>
    <t>Purchasing Office - Contract Maintenance</t>
  </si>
  <si>
    <t>MAINT. CONTRACTS DISTR.</t>
  </si>
  <si>
    <t>DEPT. MAINTENANCE CONTRACT</t>
  </si>
  <si>
    <t>Telephone Communications</t>
  </si>
  <si>
    <t>TELEPHONE EQUIPMENT LEASE</t>
  </si>
  <si>
    <t>DEPARTMENT DISTRIBUTION</t>
  </si>
  <si>
    <t>Institutional Research</t>
  </si>
  <si>
    <t>DIRECTOR</t>
  </si>
  <si>
    <t>STERLING, RITA M.</t>
  </si>
  <si>
    <t>RESEARCH ASSOCIATE</t>
  </si>
  <si>
    <t>RAMEY, EVELYN D.</t>
  </si>
  <si>
    <t>Public Safety</t>
  </si>
  <si>
    <t>HANDLEY, JAMES</t>
  </si>
  <si>
    <t>DIRECTOR OF PUBLIC SAFETY</t>
  </si>
  <si>
    <t>Continuing Education - Credit Activities</t>
  </si>
  <si>
    <t>SANDERSON, SONJA</t>
  </si>
  <si>
    <t>JACKSON, KIMBERLY D.</t>
  </si>
  <si>
    <t>WALLS, PATRICIA L.</t>
  </si>
  <si>
    <t>PETTIGREW, JANICE D.</t>
  </si>
  <si>
    <t>TUCKER, CAROL S.</t>
  </si>
  <si>
    <t>67041B</t>
  </si>
  <si>
    <t>55041B</t>
  </si>
  <si>
    <t>WILLHITE, GEORGE S.</t>
  </si>
  <si>
    <t>LOVE, MERLENE</t>
  </si>
  <si>
    <t>Radio, Television and Film Lab</t>
  </si>
  <si>
    <t>School of Social Work</t>
  </si>
  <si>
    <t>TURNEY, HOWARD</t>
  </si>
  <si>
    <t>BENDA, BRENT B.</t>
  </si>
  <si>
    <t>KRAIN, MARK</t>
  </si>
  <si>
    <t>MERCER, SUSAN O.</t>
  </si>
  <si>
    <t>THOMPSON, PERRY G.</t>
  </si>
  <si>
    <t>HARM, NANCY J.</t>
  </si>
  <si>
    <t>MARKS, ALAN H.</t>
  </si>
  <si>
    <t>SANTA CRUZ, L.A.</t>
  </si>
  <si>
    <t>BAUKNIGHT, PATRICIA E.</t>
  </si>
  <si>
    <t>TURTURRO, CAROLYN L.</t>
  </si>
  <si>
    <t>LYNCH, SUSAN A.</t>
  </si>
  <si>
    <t>WILHELM, PEGGY P.</t>
  </si>
  <si>
    <t>RYE, CECILY D.</t>
  </si>
  <si>
    <t>WEST, ANN J.</t>
  </si>
  <si>
    <t>SPECK, LOMA E.</t>
  </si>
  <si>
    <t>Community School of the Arts</t>
  </si>
  <si>
    <t>99250B</t>
  </si>
  <si>
    <t>67050B</t>
  </si>
  <si>
    <t>55050B</t>
  </si>
  <si>
    <t>DIR/RSCH &amp; SPONSORED PROG</t>
  </si>
  <si>
    <t>DIR/ARK INSTITUTE ECON ADV</t>
  </si>
  <si>
    <t xml:space="preserve">ADMINISTRATIVE ASSIT I </t>
  </si>
  <si>
    <t>DIRECTOR ARKANSAS SBDC</t>
  </si>
  <si>
    <t>EXTENSION SPEC ASSISTANT</t>
  </si>
  <si>
    <t>EX/ADMINISTRATIVE SECTRETARY</t>
  </si>
  <si>
    <t>UALR ASST DIR PHYSICAL PLT</t>
  </si>
  <si>
    <t>DIRECTOR PRINTING SVCS</t>
  </si>
  <si>
    <t>REPRODUCTION EQUIP OPER</t>
  </si>
  <si>
    <t>DIR/STUDENT DEVELOPMENT CT</t>
  </si>
  <si>
    <t>ASSIST DIR AQUATICS &amp; FITNESS</t>
  </si>
  <si>
    <t>COORDINATOR OF HOUSEKEEPING</t>
  </si>
  <si>
    <t>FUND</t>
  </si>
  <si>
    <t>ORG</t>
  </si>
  <si>
    <t>ACCT</t>
  </si>
  <si>
    <t>000001</t>
  </si>
  <si>
    <t>450000</t>
  </si>
  <si>
    <t>140000</t>
  </si>
  <si>
    <t>UNIVERSITY OF ARKANSAS AT LITTLE ROCK</t>
  </si>
  <si>
    <t>BUDGET FOR 1999/00</t>
  </si>
  <si>
    <t>POSITION</t>
  </si>
  <si>
    <t>TOTAL</t>
  </si>
  <si>
    <t>BUDGET</t>
  </si>
  <si>
    <t>NUMBER</t>
  </si>
  <si>
    <t>NAME</t>
  </si>
  <si>
    <t>TITLE</t>
  </si>
  <si>
    <t>AMOUNT</t>
  </si>
  <si>
    <t>Board of Visitors</t>
  </si>
  <si>
    <t>MAINTENANCE</t>
  </si>
  <si>
    <t>DEPARTMENT TOTAL</t>
  </si>
  <si>
    <t>STEWART, MICHAEL D.</t>
  </si>
  <si>
    <t>MENHART, STEVE</t>
  </si>
  <si>
    <t>OJHA, ANAND K.</t>
  </si>
  <si>
    <t>JOVANOVIC, NICKOLAS S.</t>
  </si>
  <si>
    <t>LUNEAU, MARION D.</t>
  </si>
  <si>
    <t>TEBBETTS, GEORGE P.</t>
  </si>
  <si>
    <t>TRAMEL, JAMES M.</t>
  </si>
  <si>
    <t>Office of the Chancellor</t>
  </si>
  <si>
    <t>HATHAWAY, CHARLES E.</t>
  </si>
  <si>
    <t>VEASLEY, CHARLES C.</t>
  </si>
  <si>
    <t>MATHIS, LUBERTA H.</t>
  </si>
  <si>
    <t>99295C</t>
  </si>
  <si>
    <t>55095C</t>
  </si>
  <si>
    <t>CAREER RECOGNITION BONUS</t>
  </si>
  <si>
    <t>BROWN,CAROLINE L.</t>
  </si>
  <si>
    <t>DEAN, JEANNA M.</t>
  </si>
  <si>
    <t>Office of Financial Services</t>
  </si>
  <si>
    <t>FIELDER, GINA P.</t>
  </si>
  <si>
    <t>BECKER, PATRICIA A.</t>
  </si>
  <si>
    <t>DP OPERATIONS SUPV I - INS</t>
  </si>
  <si>
    <t>Physical Plant - Warehouse</t>
  </si>
  <si>
    <t>MIDDLETON, BARRY</t>
  </si>
  <si>
    <t>DANNAWAY, J. C.</t>
  </si>
  <si>
    <t>BUTLER, BILL R.</t>
  </si>
  <si>
    <t>ACADEMIC COUNSELOR</t>
  </si>
  <si>
    <t>GRIFFIN, CARLA M.</t>
  </si>
  <si>
    <t>MILLIGAN, RUTH H.</t>
  </si>
  <si>
    <t>TURNER, LO NELL H.</t>
  </si>
  <si>
    <t>CARTWRIGHT, SYLVESTER</t>
  </si>
  <si>
    <t>IRVIN, ALONZA</t>
  </si>
  <si>
    <t>Developmental Testing</t>
  </si>
  <si>
    <t>Orientation Program</t>
  </si>
  <si>
    <t>FORD, DWEDOR</t>
  </si>
  <si>
    <t>FREELAND, BETTY T.</t>
  </si>
  <si>
    <t>BONNER-CHATMAN,CLENDETTA</t>
  </si>
  <si>
    <t>DOCUMENT EXAMINER I</t>
  </si>
  <si>
    <t>Admissions and Records</t>
  </si>
  <si>
    <t>MONTAG, JERRY</t>
  </si>
  <si>
    <t>PINE, DORCAS S.</t>
  </si>
  <si>
    <t>DANNAWAY, SANDRA</t>
  </si>
  <si>
    <t>BROTHERTON, TOMMY D.</t>
  </si>
  <si>
    <t>STATIONARY ENGINEER</t>
  </si>
  <si>
    <t>SPANN, ALTON W.</t>
  </si>
  <si>
    <t>R99789</t>
  </si>
  <si>
    <t>R99788</t>
  </si>
  <si>
    <t>R99787</t>
  </si>
  <si>
    <t>R99786</t>
  </si>
  <si>
    <t>R99785</t>
  </si>
  <si>
    <t>R99784</t>
  </si>
  <si>
    <t>R99783</t>
  </si>
  <si>
    <t>R99782</t>
  </si>
  <si>
    <t>R99781</t>
  </si>
  <si>
    <t>R99780</t>
  </si>
  <si>
    <t>R99779</t>
  </si>
  <si>
    <t>R99778</t>
  </si>
  <si>
    <t>R99777</t>
  </si>
  <si>
    <t>R99776</t>
  </si>
  <si>
    <t>R99775</t>
  </si>
  <si>
    <t>R99774</t>
  </si>
  <si>
    <t>R99773</t>
  </si>
  <si>
    <t>R99772</t>
  </si>
  <si>
    <t>R99771</t>
  </si>
  <si>
    <t>R99770</t>
  </si>
  <si>
    <t>R99769</t>
  </si>
  <si>
    <t>R99768</t>
  </si>
  <si>
    <t>R99767</t>
  </si>
  <si>
    <t>R99766</t>
  </si>
  <si>
    <t>R99765</t>
  </si>
  <si>
    <t>R99764</t>
  </si>
  <si>
    <t>R99763</t>
  </si>
  <si>
    <t>R99762</t>
  </si>
  <si>
    <t>R99761</t>
  </si>
  <si>
    <t>R99760</t>
  </si>
  <si>
    <t>R99755</t>
  </si>
  <si>
    <t>R99754</t>
  </si>
  <si>
    <t>R99753</t>
  </si>
  <si>
    <t>R99752</t>
  </si>
  <si>
    <t>R99751</t>
  </si>
  <si>
    <t>R99750</t>
  </si>
  <si>
    <t>R99749</t>
  </si>
  <si>
    <t>R99748</t>
  </si>
  <si>
    <t>R99747</t>
  </si>
  <si>
    <t>R99746</t>
  </si>
  <si>
    <t>R99745</t>
  </si>
  <si>
    <t>R99744</t>
  </si>
  <si>
    <t>R99743</t>
  </si>
  <si>
    <t>R99742</t>
  </si>
  <si>
    <t>R99741</t>
  </si>
  <si>
    <t>R99740</t>
  </si>
  <si>
    <t>R99739</t>
  </si>
  <si>
    <t>R99738</t>
  </si>
  <si>
    <t>R99737</t>
  </si>
  <si>
    <t>R99736</t>
  </si>
  <si>
    <t>R99735</t>
  </si>
  <si>
    <t>R99734</t>
  </si>
  <si>
    <t>R99733</t>
  </si>
  <si>
    <t>R99732</t>
  </si>
  <si>
    <t>R99731</t>
  </si>
  <si>
    <t>R99730</t>
  </si>
  <si>
    <t>R99729</t>
  </si>
  <si>
    <t>R99728</t>
  </si>
  <si>
    <t>R99727</t>
  </si>
  <si>
    <t>R99726</t>
  </si>
  <si>
    <t>R99725</t>
  </si>
  <si>
    <t>R99724</t>
  </si>
  <si>
    <t>R99723</t>
  </si>
  <si>
    <t>R99722</t>
  </si>
  <si>
    <t>R99721</t>
  </si>
  <si>
    <t>R99720</t>
  </si>
  <si>
    <t>R99719</t>
  </si>
  <si>
    <t>R99718</t>
  </si>
  <si>
    <t>R99717</t>
  </si>
  <si>
    <t>R99716</t>
  </si>
  <si>
    <t>R99715</t>
  </si>
  <si>
    <t>R99714</t>
  </si>
  <si>
    <t>R99713</t>
  </si>
  <si>
    <t>R99712</t>
  </si>
  <si>
    <t>R99711</t>
  </si>
  <si>
    <t>R99710</t>
  </si>
  <si>
    <t>R99709</t>
  </si>
  <si>
    <t>R99708</t>
  </si>
  <si>
    <t>R99707</t>
  </si>
  <si>
    <t>R99706</t>
  </si>
  <si>
    <t>R99705</t>
  </si>
  <si>
    <t>R99704</t>
  </si>
  <si>
    <t>R99703</t>
  </si>
  <si>
    <t>R99702</t>
  </si>
  <si>
    <t>R99701</t>
  </si>
  <si>
    <t>R99700</t>
  </si>
  <si>
    <t>R99699</t>
  </si>
  <si>
    <t>R99698</t>
  </si>
  <si>
    <t>R99697</t>
  </si>
  <si>
    <t>R99696</t>
  </si>
  <si>
    <t>R99695</t>
  </si>
  <si>
    <t>R99694</t>
  </si>
  <si>
    <t>R99693</t>
  </si>
  <si>
    <t>R99692</t>
  </si>
  <si>
    <t>R99691</t>
  </si>
  <si>
    <t>R99690</t>
  </si>
  <si>
    <t>R99689</t>
  </si>
  <si>
    <t>R99688</t>
  </si>
  <si>
    <t>R99687</t>
  </si>
  <si>
    <t>R99686</t>
  </si>
  <si>
    <t>R99685</t>
  </si>
  <si>
    <t>R99684</t>
  </si>
  <si>
    <t>R99683</t>
  </si>
  <si>
    <t>R99682</t>
  </si>
  <si>
    <t>R99681</t>
  </si>
  <si>
    <t>R99680</t>
  </si>
  <si>
    <t>R99679</t>
  </si>
  <si>
    <t>R99678</t>
  </si>
  <si>
    <t>R99677</t>
  </si>
  <si>
    <t>R99676</t>
  </si>
  <si>
    <t>R99675</t>
  </si>
  <si>
    <t>R99674</t>
  </si>
  <si>
    <t>R99673</t>
  </si>
  <si>
    <t>R99672</t>
  </si>
  <si>
    <t>R99671</t>
  </si>
  <si>
    <t>R99670</t>
  </si>
  <si>
    <t>R99669</t>
  </si>
  <si>
    <t>R99668</t>
  </si>
  <si>
    <t>R99667</t>
  </si>
  <si>
    <t>R99666</t>
  </si>
  <si>
    <t>R99665</t>
  </si>
  <si>
    <t>R99664</t>
  </si>
  <si>
    <t>R99663</t>
  </si>
  <si>
    <t>R99662</t>
  </si>
  <si>
    <t>R99661</t>
  </si>
  <si>
    <t>R99660</t>
  </si>
  <si>
    <t>R99659</t>
  </si>
  <si>
    <t>R99658</t>
  </si>
  <si>
    <t>R99657</t>
  </si>
  <si>
    <t>R99656</t>
  </si>
  <si>
    <t>R99655</t>
  </si>
  <si>
    <t>R99654</t>
  </si>
  <si>
    <t>R99653</t>
  </si>
  <si>
    <t>R99652</t>
  </si>
  <si>
    <t>R99651</t>
  </si>
  <si>
    <t>R99650</t>
  </si>
  <si>
    <t>TENDEKU, MARY-JOYCE A.</t>
  </si>
  <si>
    <t>STEELE, TERRY D.</t>
  </si>
  <si>
    <t>KRAFT, TERESA C.</t>
  </si>
  <si>
    <t>Rehabilitation</t>
  </si>
  <si>
    <t>SMITH, PATRICIA B.</t>
  </si>
  <si>
    <t>JACOBSON, WILLIAM H.</t>
  </si>
  <si>
    <t>TAFF-WATSON, MYRA</t>
  </si>
  <si>
    <t>STAUFFER, LINDA K.</t>
  </si>
  <si>
    <t>SHAW, SHERRY L.</t>
  </si>
  <si>
    <t>JOLLEY, CAROLYN S.</t>
  </si>
  <si>
    <t>FERGUSON, ROBERT W.</t>
  </si>
  <si>
    <t>GOJKOVIC, BOJANA</t>
  </si>
  <si>
    <t>BARNES, AMY O.</t>
  </si>
  <si>
    <t>BAYLES, JILL M.</t>
  </si>
  <si>
    <t>College of Education Reserve - Lecturer/Summer School</t>
  </si>
  <si>
    <t>Dean-College of Professional Studies</t>
  </si>
  <si>
    <t>GRAY, JOHN W.</t>
  </si>
  <si>
    <t>BAUGH, LINDA E.</t>
  </si>
  <si>
    <t>ASSISTANT DEAN</t>
  </si>
  <si>
    <t>PRICE, JAMES D.</t>
  </si>
  <si>
    <t>RICHARDSON, JONATHAN</t>
  </si>
  <si>
    <t xml:space="preserve">CUSTODIAL WORKER I </t>
  </si>
  <si>
    <t>RIDEOUT, ALICE M.</t>
  </si>
  <si>
    <t>SWINNEY, VERNA J.</t>
  </si>
  <si>
    <t>TAYLOR, OLLIE M.</t>
  </si>
  <si>
    <t>TIDWELL, PAULA D.</t>
  </si>
  <si>
    <t>WILLIS, JACQUELINE M.</t>
  </si>
  <si>
    <t>Biology Lab</t>
  </si>
  <si>
    <t>Chemistry</t>
  </si>
  <si>
    <t>SWINDELL, ROBERT T.</t>
  </si>
  <si>
    <t>SETLIFF, FRANK L.</t>
  </si>
  <si>
    <t>SHAIKH, ALI U.</t>
  </si>
  <si>
    <t>YANG, DOMINIC T.</t>
  </si>
  <si>
    <t>VISWANATHAN, TITO</t>
  </si>
  <si>
    <t>DARSEY, JEROME A.</t>
  </si>
  <si>
    <t>STEINMEIER, ROBERT C.</t>
  </si>
  <si>
    <t>Student Fee Transfer - Men's  &amp; Women's Non-Revenue Sports</t>
  </si>
  <si>
    <t>NON-REVERNUE SPORTS</t>
  </si>
  <si>
    <t>Parking Reserve</t>
  </si>
  <si>
    <t>Computer Lab Reserve</t>
  </si>
  <si>
    <t>Law School - Parking Reserve</t>
  </si>
  <si>
    <t>Misc Reserve</t>
  </si>
  <si>
    <t>Plant Reserve</t>
  </si>
  <si>
    <t>Scholarships - Graduate Assistants</t>
  </si>
  <si>
    <t>Scholarships - College of Education Scholars</t>
  </si>
  <si>
    <t>EDUCATION SCHOLARS</t>
  </si>
  <si>
    <t>Scholarships - Federal matching Funds</t>
  </si>
  <si>
    <t>GOLDNER, SUSAN D.</t>
  </si>
  <si>
    <t>FITZHUGH, KATHRYN</t>
  </si>
  <si>
    <t>SERFASS, MELISSA</t>
  </si>
  <si>
    <t>CRANFORD, JESSIE L.</t>
  </si>
  <si>
    <t>GHIDOTTI, P. A.</t>
  </si>
  <si>
    <t>WOLF, SCOTT R.</t>
  </si>
  <si>
    <t>HYATT, STEVEN G.</t>
  </si>
  <si>
    <t>COMPUTER SYSTEMS MANAGER</t>
  </si>
  <si>
    <t>ROLLER, N. CAROLYN</t>
  </si>
  <si>
    <t>ROSE, DONNA K.</t>
  </si>
  <si>
    <t>RUSS, KAREN M.</t>
  </si>
  <si>
    <t>Volleyball (Women)</t>
  </si>
  <si>
    <t>COMPTON, VAN</t>
  </si>
  <si>
    <t>ASSISTANT ATHLETIC DIRECTOR</t>
  </si>
  <si>
    <t>55076C</t>
  </si>
  <si>
    <t>Baseball (Men)</t>
  </si>
  <si>
    <t>RHEES, BRIAN W.</t>
  </si>
  <si>
    <t>KUHN, KARL M.</t>
  </si>
  <si>
    <t xml:space="preserve">CAREER BONUS </t>
  </si>
  <si>
    <t>Tennis (Men)</t>
  </si>
  <si>
    <t>MCCONNELL, JOHN D.</t>
  </si>
  <si>
    <t>55078C</t>
  </si>
  <si>
    <t>BROWN, DEREKA D.</t>
  </si>
  <si>
    <t>LIBRARY ACADEMIC TECH II</t>
  </si>
  <si>
    <t>COLEMAN, L.A.</t>
  </si>
  <si>
    <t>GOODMAN, BRYAN L.</t>
  </si>
  <si>
    <t>Basic Animal Service Unit</t>
  </si>
  <si>
    <t>HEIDT, GARY A.</t>
  </si>
  <si>
    <t>PROFESSOR</t>
  </si>
  <si>
    <t>HEATH, DARRELL R.</t>
  </si>
  <si>
    <t>Other Academic Support</t>
  </si>
  <si>
    <t>Accounting</t>
  </si>
  <si>
    <t>EDWARDS, DONALD E.</t>
  </si>
  <si>
    <t>DEPARTMENT CHAIR</t>
  </si>
  <si>
    <t>ROGERS, SONIA E.</t>
  </si>
  <si>
    <t>BOYER, ELIZABETH S.</t>
  </si>
  <si>
    <t>Track (Women)</t>
  </si>
  <si>
    <t>55086C</t>
  </si>
  <si>
    <t>59086C</t>
  </si>
  <si>
    <t>BATES, JOHN</t>
  </si>
  <si>
    <t>ADMIN OFFICE SUPERVISOR</t>
  </si>
  <si>
    <t>320000</t>
  </si>
  <si>
    <t>330000</t>
  </si>
  <si>
    <t>120100</t>
  </si>
  <si>
    <t>640211</t>
  </si>
  <si>
    <t>640410</t>
  </si>
  <si>
    <t>630210</t>
  </si>
  <si>
    <t>630211</t>
  </si>
  <si>
    <t>630410</t>
  </si>
  <si>
    <t>630411</t>
  </si>
  <si>
    <t>630510</t>
  </si>
  <si>
    <t>630511</t>
  </si>
  <si>
    <t>610210</t>
  </si>
  <si>
    <t>610211</t>
  </si>
  <si>
    <t>610710</t>
  </si>
  <si>
    <t>610711</t>
  </si>
  <si>
    <t>611210</t>
  </si>
  <si>
    <t>611211</t>
  </si>
  <si>
    <t>611310</t>
  </si>
  <si>
    <t>611111</t>
  </si>
  <si>
    <t>611110</t>
  </si>
  <si>
    <t>610411</t>
  </si>
  <si>
    <t>611112</t>
  </si>
  <si>
    <t>610610</t>
  </si>
  <si>
    <t>610611</t>
  </si>
  <si>
    <t>610510</t>
  </si>
  <si>
    <t>610810</t>
  </si>
  <si>
    <t>611010</t>
  </si>
  <si>
    <t>611011</t>
  </si>
  <si>
    <t>610910</t>
  </si>
  <si>
    <t>611410</t>
  </si>
  <si>
    <t>650211</t>
  </si>
  <si>
    <t>650310</t>
  </si>
  <si>
    <t>650311</t>
  </si>
  <si>
    <t>650410</t>
  </si>
  <si>
    <t>650411</t>
  </si>
  <si>
    <t>670210</t>
  </si>
  <si>
    <t>650510</t>
  </si>
  <si>
    <t>650511</t>
  </si>
  <si>
    <t>650512</t>
  </si>
  <si>
    <t>670310</t>
  </si>
  <si>
    <t>670311</t>
  </si>
  <si>
    <t>650610</t>
  </si>
  <si>
    <t>650611</t>
  </si>
  <si>
    <t>650710</t>
  </si>
  <si>
    <t>650711</t>
  </si>
  <si>
    <t>670410</t>
  </si>
  <si>
    <t>630611</t>
  </si>
  <si>
    <t>750100</t>
  </si>
  <si>
    <t>650712</t>
  </si>
  <si>
    <t>750000</t>
  </si>
  <si>
    <t>730200</t>
  </si>
  <si>
    <t>620510</t>
  </si>
  <si>
    <t>620514</t>
  </si>
  <si>
    <t>620512</t>
  </si>
  <si>
    <t>620515</t>
  </si>
  <si>
    <t>620810</t>
  </si>
  <si>
    <t>620511</t>
  </si>
  <si>
    <t>430000</t>
  </si>
  <si>
    <t>640710</t>
  </si>
  <si>
    <t>320310</t>
  </si>
  <si>
    <t>320370</t>
  </si>
  <si>
    <t>320340</t>
  </si>
  <si>
    <t>320400</t>
  </si>
  <si>
    <t>320410</t>
  </si>
  <si>
    <t>320360</t>
  </si>
  <si>
    <t>320330</t>
  </si>
  <si>
    <t>320390</t>
  </si>
  <si>
    <t>320380</t>
  </si>
  <si>
    <t>320350</t>
  </si>
  <si>
    <t>320320</t>
  </si>
  <si>
    <t>510010</t>
  </si>
  <si>
    <t>420420</t>
  </si>
  <si>
    <t>420200</t>
  </si>
  <si>
    <t>420300</t>
  </si>
  <si>
    <t>420810</t>
  </si>
  <si>
    <t>420610</t>
  </si>
  <si>
    <t>420680</t>
  </si>
  <si>
    <t>420410</t>
  </si>
  <si>
    <t>420450</t>
  </si>
  <si>
    <t>420660</t>
  </si>
  <si>
    <t>420650</t>
  </si>
  <si>
    <t>420620</t>
  </si>
  <si>
    <t>420430</t>
  </si>
  <si>
    <t>420440</t>
  </si>
  <si>
    <t>420630</t>
  </si>
  <si>
    <t>420460</t>
  </si>
  <si>
    <t>420670</t>
  </si>
  <si>
    <t>420640</t>
  </si>
  <si>
    <t>230510</t>
  </si>
  <si>
    <t>230520</t>
  </si>
  <si>
    <t>230310</t>
  </si>
  <si>
    <t>LEFLER, LARRY</t>
  </si>
  <si>
    <t>ROBINETTE, HEATHER B.</t>
  </si>
  <si>
    <t>BARKER, RUSSELL L.</t>
  </si>
  <si>
    <t>NICKELS, JAMES E.</t>
  </si>
  <si>
    <t>BASHAW, R. EDWARD</t>
  </si>
  <si>
    <t>PAULSON, TERRY C.</t>
  </si>
  <si>
    <t>ROGERS, THOMAS M.</t>
  </si>
  <si>
    <t>BRISTOL, TERRY</t>
  </si>
  <si>
    <t>EDISON, STEVE</t>
  </si>
  <si>
    <t>GRANT, LINDA K.</t>
  </si>
  <si>
    <t>AMB IN RES SPPT FUND</t>
  </si>
  <si>
    <t>Business Administration Computer Lab</t>
  </si>
  <si>
    <t>LIDE, WILLIAM G.</t>
  </si>
  <si>
    <t>YONKEY, MICHELLE D.</t>
  </si>
  <si>
    <t>SNUFFER, CHERYL D.</t>
  </si>
  <si>
    <t>PAYROLL SERVICES SPECIALIST</t>
  </si>
  <si>
    <t>AYER, PATRICIA A.</t>
  </si>
  <si>
    <t>ACCOUNTING TECH  II</t>
  </si>
  <si>
    <t>CARRIGAN, GLORIA J.</t>
  </si>
  <si>
    <t>PLATT, CAROL</t>
  </si>
  <si>
    <t>PUMPHREY, DARA K.</t>
  </si>
  <si>
    <t>REED, BRENDA J.</t>
  </si>
  <si>
    <t>PITCHFORD, SHARON  L.</t>
  </si>
  <si>
    <t>PAYROLL OFFICER</t>
  </si>
  <si>
    <t>WALTON, DELETTA J.</t>
  </si>
  <si>
    <t>Other Institutional Expenses</t>
  </si>
  <si>
    <t>COMPENSATED ABSENCES</t>
  </si>
  <si>
    <t>NEWELL, TARA S.</t>
  </si>
  <si>
    <t>GILBERT, CYNTHIA K.</t>
  </si>
  <si>
    <t>FENDLER, FRANCES S.</t>
  </si>
  <si>
    <t>MOORE, TONYA R.</t>
  </si>
  <si>
    <t>GUSTAFSON, LINDSEY P.</t>
  </si>
  <si>
    <t xml:space="preserve"> APPELLATE PRACTICE &amp; PROCESS</t>
  </si>
  <si>
    <t>SPADONI, WENDY M.</t>
  </si>
  <si>
    <t>SMALL, TAMMY R.</t>
  </si>
  <si>
    <t>MARTIN, PATSY A.</t>
  </si>
  <si>
    <t>BECK, LAURA L.</t>
  </si>
  <si>
    <t>DADY, SONYA J.</t>
  </si>
  <si>
    <t>ANDERSON, EILEEN B.</t>
  </si>
  <si>
    <t>MERRIS, LINDA A.</t>
  </si>
  <si>
    <t>ALLEN, CLEO J.</t>
  </si>
  <si>
    <t>BEECHER-MONAS, ERICA</t>
  </si>
  <si>
    <t>BARGER, COLEEN</t>
  </si>
  <si>
    <t>OLIVER, RANKO S.</t>
  </si>
  <si>
    <t>PELTZ, RICHARD J.</t>
  </si>
  <si>
    <t>PENN, SUZANNE</t>
  </si>
  <si>
    <t>HARRIS, GAIL D.</t>
  </si>
  <si>
    <t>JONES, JERRE A.</t>
  </si>
  <si>
    <t>SADLER, LAURIE</t>
  </si>
  <si>
    <t>120300</t>
  </si>
  <si>
    <t>PROFESSOR LAW SCHOOL</t>
  </si>
  <si>
    <t>AVERILL, LAWRENCE H.</t>
  </si>
  <si>
    <t>DIPIPPA, JOHN A.</t>
  </si>
  <si>
    <t>GITCHEL, W.D.</t>
  </si>
  <si>
    <t>GOULD, KENNETH S.</t>
  </si>
  <si>
    <t>JENKINS, S.H.</t>
  </si>
  <si>
    <t>MCCLURG, A.J.</t>
  </si>
  <si>
    <t>MULLINS, MORELL E.</t>
  </si>
  <si>
    <t>OLIVER, PHILIP D.</t>
  </si>
  <si>
    <t>PASVOGEL, GLENN E.</t>
  </si>
  <si>
    <t>SPEARS, J.W.</t>
  </si>
  <si>
    <t>STAFFORD, LOGAN S.</t>
  </si>
  <si>
    <t>DOUGLAS, MARIAN S.</t>
  </si>
  <si>
    <t>REACH, DARRYL K.</t>
  </si>
  <si>
    <t>HYNES, NORMAN</t>
  </si>
  <si>
    <t>GRIFFIN, GRACE I.</t>
  </si>
  <si>
    <t>Chemistry Lab</t>
  </si>
  <si>
    <t>Earth Science</t>
  </si>
  <si>
    <t>CONNELLY, JEFFREY B.</t>
  </si>
  <si>
    <t>KEHLER, PHILIP L.</t>
  </si>
  <si>
    <t>LESLIE, STEPHEN A.</t>
  </si>
  <si>
    <t>EPPS, A. FELECIA</t>
  </si>
  <si>
    <t>DP NETWORK TECH I - INST</t>
  </si>
  <si>
    <t>DIR/ARK INSTITUTE OF GOVT</t>
  </si>
  <si>
    <t>CARENBAUER, MICHAEL</t>
  </si>
  <si>
    <t>RICHESON, DAVID T.</t>
  </si>
  <si>
    <t>BOSWELL, R.L.</t>
  </si>
  <si>
    <t>PITTS, BARBARA P.</t>
  </si>
  <si>
    <t>DIRECTOR HEALTH SERVICES</t>
  </si>
  <si>
    <t>TUCKER, R. STEPHEN</t>
  </si>
  <si>
    <t>PHYSICIAN</t>
  </si>
  <si>
    <t>MEEKS, SAUNDRA G.</t>
  </si>
  <si>
    <t>STUDENT HEALTH SV NURSE II</t>
  </si>
  <si>
    <t>HANSON, GERALD T.</t>
  </si>
  <si>
    <t>KAISER, THOMAS E.</t>
  </si>
  <si>
    <t>MONEYHON, CARL H.</t>
  </si>
  <si>
    <t>WILLIAMS, C.F.</t>
  </si>
  <si>
    <t>VINIKAS, VINCENT A.</t>
  </si>
  <si>
    <t>LEWIS, JOHANNA M.</t>
  </si>
  <si>
    <t>MILLER, JAMES W.</t>
  </si>
  <si>
    <t>RECKEN, STEPHEN L.</t>
  </si>
  <si>
    <t>WILLIAMS, LEROY T.</t>
  </si>
  <si>
    <t>FONTAINE, MICHELLE M.</t>
  </si>
  <si>
    <t>RUSTON, AARON K.</t>
  </si>
  <si>
    <t>RESEARCH ASSISTANT/INSTRUC</t>
  </si>
  <si>
    <t>AVERY, CHAD M.</t>
  </si>
  <si>
    <t>MCCORD, PATRICIA J.</t>
  </si>
  <si>
    <t>STUDENT DEVELOPMENT SPECIALIST</t>
  </si>
  <si>
    <t>PROGRAM ADVISOR</t>
  </si>
  <si>
    <t>MYERS, ANN</t>
  </si>
  <si>
    <t>CHOAT, ROZLAND A.</t>
  </si>
  <si>
    <t>DOCUMENT EXAMINER II</t>
  </si>
  <si>
    <t>BATES, SANDRA K.</t>
  </si>
  <si>
    <t>ASSISTANT REGISTRAR</t>
  </si>
  <si>
    <t>PHILLIPS-LEWIS, MARLANA R.</t>
  </si>
  <si>
    <t>PLAIN, MERLE</t>
  </si>
  <si>
    <t>99285B</t>
  </si>
  <si>
    <t>55085B</t>
  </si>
  <si>
    <t>Physical Plant - Grounds Maintenance</t>
  </si>
  <si>
    <t>WILLIAMS, ALAN O.</t>
  </si>
  <si>
    <t>WALTON, KENNETH A.</t>
  </si>
  <si>
    <t>Psychology</t>
  </si>
  <si>
    <t>MOORE, BRUCE D.</t>
  </si>
  <si>
    <t>PITTENGER, JOHN B.</t>
  </si>
  <si>
    <t>POLING, TOMMY H.</t>
  </si>
  <si>
    <t>WEBB, ROGER A.</t>
  </si>
  <si>
    <t>WOOD, D.L.</t>
  </si>
  <si>
    <t>BLEVINS-KNABE, BELINDA</t>
  </si>
  <si>
    <t>FAUCETT, JOHN M.</t>
  </si>
  <si>
    <t>HUMMEL JR., CARL F.</t>
  </si>
  <si>
    <t>HAMMOND, R.B.</t>
  </si>
  <si>
    <t>HINES, ROBERT J.</t>
  </si>
  <si>
    <t>MACK, EDNA RUTH</t>
  </si>
  <si>
    <t>SOMERVELL, CINDY</t>
  </si>
  <si>
    <t>GARNETT, MARY ANNE</t>
  </si>
  <si>
    <t>CHEATHAM, R.M.</t>
  </si>
  <si>
    <t>THORSON, HELGA M.</t>
  </si>
  <si>
    <t>BATRES, PATRICIA G.</t>
  </si>
  <si>
    <t>BOWLUS, B.M.</t>
  </si>
  <si>
    <t>DHONAU, STEPHANIE A.</t>
  </si>
  <si>
    <t>SELLARS, SHARON E.</t>
  </si>
  <si>
    <t>WILKINSON, LEAH S.</t>
  </si>
  <si>
    <t>NUNN, WALTER H.</t>
  </si>
  <si>
    <t>RESEARCH ASSO./PROGRAM COORDINATOR</t>
  </si>
  <si>
    <t>YANG, MICHAEL A.</t>
  </si>
  <si>
    <t>REGISTRAR'S ASSISTANT</t>
  </si>
  <si>
    <t>ROBINSON, CURLEE D.</t>
  </si>
  <si>
    <t>History</t>
  </si>
  <si>
    <t>BILSKY, LESTER J.</t>
  </si>
  <si>
    <t>ANSON, EDWARD M.</t>
  </si>
  <si>
    <t>BOLTON, S.C.</t>
  </si>
  <si>
    <t>BOWLUS, CHARLES R.</t>
  </si>
  <si>
    <t>MAINTENANCE WORKER I</t>
  </si>
  <si>
    <t>KIMMER, DAVID</t>
  </si>
  <si>
    <t xml:space="preserve">MAINTENANCE WORKER I </t>
  </si>
  <si>
    <t>WATSON, STEWART C.</t>
  </si>
  <si>
    <t>99286B</t>
  </si>
  <si>
    <t>55086B</t>
  </si>
  <si>
    <t>Physical Plant - Custodial Service</t>
  </si>
  <si>
    <t>CUSTODIAL SUPERVISOR II</t>
  </si>
  <si>
    <t>BELL, CARTER J.</t>
  </si>
  <si>
    <t>MATRICIAN, MARIAN F.</t>
  </si>
  <si>
    <t>ROSS, FRANCES M.</t>
  </si>
  <si>
    <t>SMOLLER, LAURA A.</t>
  </si>
  <si>
    <t>GRADUATE ASSISTANTS</t>
  </si>
  <si>
    <t>Retention</t>
  </si>
  <si>
    <t>Assessment</t>
  </si>
  <si>
    <t>Teams Program</t>
  </si>
  <si>
    <t>Dean-College of Business Administration</t>
  </si>
  <si>
    <t>GOOLSBY, WILLIAM C.</t>
  </si>
  <si>
    <t>THOMPSON, MARILYN F.</t>
  </si>
  <si>
    <t>GRIGGS, MARY K.</t>
  </si>
  <si>
    <t>DAVIS, WILMER J.</t>
  </si>
  <si>
    <t>HE PUBLIC SAFETY SEC OFFICER I</t>
  </si>
  <si>
    <t>STUDENT PATROL</t>
  </si>
  <si>
    <t>STURGIS/FRIDAY FELLOWS STIPENDS</t>
  </si>
  <si>
    <t>Vice Chancellor for University Advancement</t>
  </si>
  <si>
    <t>WALKER, BILL M.</t>
  </si>
  <si>
    <t>PATENAUDE, DARLENE J.</t>
  </si>
  <si>
    <t>MILLER, TANYA S.</t>
  </si>
  <si>
    <t>DAVIS, VERONICA L.</t>
  </si>
  <si>
    <t>FREEMAN-TURNER, SHIRLEY M.</t>
  </si>
  <si>
    <t>HEALY-GLASGOW, MARYSCOTT</t>
  </si>
  <si>
    <t>Multimedia Services</t>
  </si>
  <si>
    <t>FOLEY, N. D.</t>
  </si>
  <si>
    <t>GREEN, KIMBLE L.</t>
  </si>
  <si>
    <t>HALL, TERRI D.</t>
  </si>
  <si>
    <t>BELL, STEVE</t>
  </si>
  <si>
    <t>PRINTER SUPERVISOR</t>
  </si>
  <si>
    <t>SMITH, MIKE D.</t>
  </si>
  <si>
    <t>PRINTER II</t>
  </si>
  <si>
    <t>FRALA, JAMES M.</t>
  </si>
  <si>
    <t>HOLTHOFF, RICHARD A</t>
  </si>
  <si>
    <t xml:space="preserve">PRINTER II </t>
  </si>
  <si>
    <t>MARTIN, KEITH</t>
  </si>
  <si>
    <t>PETERS, ROBERT</t>
  </si>
  <si>
    <t>PRINTER I</t>
  </si>
  <si>
    <t>LITTLEFIELD, ROBERT G.</t>
  </si>
  <si>
    <t>MILLER, JUDITH L.</t>
  </si>
  <si>
    <t>55092C</t>
  </si>
  <si>
    <t>Arkansas Bar Center</t>
  </si>
  <si>
    <t>STERN, GININE M.</t>
  </si>
  <si>
    <t>CHRISTY, WALTER K.</t>
  </si>
  <si>
    <t>GAUNTT JR., JAMES E.</t>
  </si>
  <si>
    <t>WATTS, MICHAEL M.</t>
  </si>
  <si>
    <t>OWENS, DON R.</t>
  </si>
  <si>
    <t>WIGGINS, J.W.</t>
  </si>
  <si>
    <t>PLANT EMERGENCIES</t>
  </si>
  <si>
    <t>MORGAN, JOHN D.</t>
  </si>
  <si>
    <t>SYSTEM ANALYST I - INST</t>
  </si>
  <si>
    <t>APPLIC PROGRAMMER II - INS</t>
  </si>
  <si>
    <t>APPLIC PROGRAMMER I - INST</t>
  </si>
  <si>
    <t>DIR UNIV COMMUNICATIONS</t>
  </si>
  <si>
    <t>VC EDUCATIONAL SERVICES</t>
  </si>
  <si>
    <t xml:space="preserve">DIR/MGT SYSTEMS &amp; PLANNING </t>
  </si>
  <si>
    <t>DIVISION CHIEF</t>
  </si>
  <si>
    <t>ASSISTANT DEAN STUDENTS</t>
  </si>
  <si>
    <t>DIR/COUNSELING SERVICES</t>
  </si>
  <si>
    <t>DIRECTOR ACADEMIC ADVISING</t>
  </si>
  <si>
    <t>DIR STUDENT AID</t>
  </si>
  <si>
    <t>ASSOC DIRECTOR STUDENT AID</t>
  </si>
  <si>
    <t>DIR/ADMISSIONS AND RECORDS</t>
  </si>
  <si>
    <t>DIR/DISABILITY SERVICES</t>
  </si>
  <si>
    <t>DEAN OF SCHOOLS/COLLEGES</t>
  </si>
  <si>
    <t>MANAGEMENT PROJ ANALYST I</t>
  </si>
  <si>
    <t xml:space="preserve">BUDGET DIRECTOR </t>
  </si>
  <si>
    <t>DIR/ADM &amp; REGISTRAR LAW</t>
  </si>
  <si>
    <t>FLINN, JULIANA B.</t>
  </si>
  <si>
    <t>ROBSON, JOHN D.</t>
  </si>
  <si>
    <t>SANDERSON, ROBERT E.</t>
  </si>
  <si>
    <t>ITO, KINKO</t>
  </si>
  <si>
    <t>BRISCOE, DAVE</t>
  </si>
  <si>
    <t>HARTMANN, MARK J.</t>
  </si>
  <si>
    <t>WANG, GUANG-ZHEN</t>
  </si>
  <si>
    <t>UALR CHANCELLOR</t>
  </si>
  <si>
    <t>CONTROLLER</t>
  </si>
  <si>
    <t>KIRCHER, PATRICK J.</t>
  </si>
  <si>
    <t>JOYNER, JIM D.</t>
  </si>
  <si>
    <t>DIRECTOR PHYSICAL PLANT</t>
  </si>
  <si>
    <t>MCMAINS, REGINA A.</t>
  </si>
  <si>
    <t>COLLIS, SANDRA</t>
  </si>
  <si>
    <t>ACCOUNTING TECH I</t>
  </si>
  <si>
    <t>99276B</t>
  </si>
  <si>
    <t>55076B</t>
  </si>
  <si>
    <t>Campus Life</t>
  </si>
  <si>
    <t>CALLANEN-GRAVETT, DOT N.</t>
  </si>
  <si>
    <t>CHAPMAN, WAYNE A.</t>
  </si>
  <si>
    <t>BRECKENRIDGE, JOY A.</t>
  </si>
  <si>
    <t>MAY, JAMES R.</t>
  </si>
  <si>
    <t>WICK, CARL A.</t>
  </si>
  <si>
    <t>WORKERS COMPENSATION</t>
  </si>
  <si>
    <t>BATES, JOHN W.</t>
  </si>
  <si>
    <t>PEARCE, MILDRED</t>
  </si>
  <si>
    <t>FULMORE, ROBBIN</t>
  </si>
  <si>
    <t>SILASKI, BARBARA A.</t>
  </si>
  <si>
    <t>Physical Plant - Mechanical</t>
  </si>
  <si>
    <t>SEAMON, MICHAEL W.</t>
  </si>
  <si>
    <t>BROOKS, RICHARD</t>
  </si>
  <si>
    <t>GERMAN, GABRIEL</t>
  </si>
  <si>
    <t>DUGAN, JOSHUA</t>
  </si>
  <si>
    <t>RIEPLE, PAULA</t>
  </si>
  <si>
    <t>HURD, CONSTANCE H.</t>
  </si>
  <si>
    <t>HOOKS, TONYA C.</t>
  </si>
  <si>
    <t>GARRETT, JENNIFER L.</t>
  </si>
  <si>
    <t>ROOK, CARY</t>
  </si>
  <si>
    <t>DEAN, JOYCE C.</t>
  </si>
  <si>
    <t>BENHAM, PAULA H.</t>
  </si>
  <si>
    <t>THREM, DAVID S.</t>
  </si>
  <si>
    <t>CARPENTER, PAULA K.</t>
  </si>
  <si>
    <t>YADA, BARBARA M.</t>
  </si>
  <si>
    <t>WRIGHT, CURTIS T.</t>
  </si>
  <si>
    <t>JOHNSON, BARBARA</t>
  </si>
  <si>
    <t>HONE, JESSICA E.</t>
  </si>
  <si>
    <t>KING, PATRICK</t>
  </si>
  <si>
    <t>WITHERS, KHARI</t>
  </si>
  <si>
    <t>HENDERSON, CHARLES</t>
  </si>
  <si>
    <t>STATON, LAFRANCIS</t>
  </si>
  <si>
    <t>Mail Services - Distribution</t>
  </si>
  <si>
    <t>CLARK, BLAKE W.</t>
  </si>
  <si>
    <t>MALLORY, JOHNNIE J.</t>
  </si>
  <si>
    <t>Engineering Technology Science Lab</t>
  </si>
  <si>
    <t>Construction Management</t>
  </si>
  <si>
    <t>Vice Chancellor and Provost</t>
  </si>
  <si>
    <t>ANDERSON JR, JOEL E.</t>
  </si>
  <si>
    <t>HICKMAN, MARLENE F.</t>
  </si>
  <si>
    <t>JONES, JENNIFER L.</t>
  </si>
  <si>
    <t>FOX, KIM ROSS</t>
  </si>
  <si>
    <t>GWINN, SHANNON D.</t>
  </si>
  <si>
    <t>FERRIER, MARGARET S.</t>
  </si>
  <si>
    <t>66022B</t>
  </si>
  <si>
    <t>55022B</t>
  </si>
  <si>
    <t>School of Law</t>
  </si>
  <si>
    <t>WRIGHT III, ROBERT R.</t>
  </si>
  <si>
    <t>ACCOUNTANT</t>
  </si>
  <si>
    <t>ANDERSON, EILEEN</t>
  </si>
  <si>
    <t>EDITOR</t>
  </si>
  <si>
    <t>POSITION TOTAL</t>
  </si>
  <si>
    <t>Vice Chancellor for Finance and Administration</t>
  </si>
  <si>
    <t>RICHARDS, BARBARA</t>
  </si>
  <si>
    <t>DAIL, JANET</t>
  </si>
  <si>
    <t>INSTITUTIONAL ASSISTANT</t>
  </si>
  <si>
    <t>ANDERSON, JOYCE</t>
  </si>
  <si>
    <t>LANDE,JOHN M.</t>
  </si>
  <si>
    <t>WEISE, STEPHEN W.</t>
  </si>
  <si>
    <t>English Computer Lab</t>
  </si>
  <si>
    <t>Writing Project</t>
  </si>
  <si>
    <t>Division of International and Second Language Studies</t>
  </si>
  <si>
    <t>MCALPINE, DAVID C.</t>
  </si>
  <si>
    <t>JOURNEYMAN LOCKSMITH</t>
  </si>
  <si>
    <t>SANDERS,BLAKE R.</t>
  </si>
  <si>
    <t xml:space="preserve">SKILLED TRADES WORKER </t>
  </si>
  <si>
    <t>SMITH, RICKY M.</t>
  </si>
  <si>
    <t>WATSON, PHILLIP</t>
  </si>
  <si>
    <t>APPRENTICE TRADESMAN</t>
  </si>
  <si>
    <t>99284B</t>
  </si>
  <si>
    <t>55084B</t>
  </si>
  <si>
    <t>Physical Plant - Preventive Maintenance</t>
  </si>
  <si>
    <t>AUTO/DIESEL MECH SUPERVISOR</t>
  </si>
  <si>
    <t>Division of International and Second Language Studies Lab</t>
  </si>
  <si>
    <t>EXTRA LABOR</t>
  </si>
  <si>
    <t>International Programs</t>
  </si>
  <si>
    <t>TWILLIE, GWEN</t>
  </si>
  <si>
    <t>HILL, JOHN</t>
  </si>
  <si>
    <t>CAMPBELL, GENE V.</t>
  </si>
  <si>
    <t>HARRISON, TAMMY W.</t>
  </si>
  <si>
    <t>JOHNSON, GAIL S.</t>
  </si>
  <si>
    <t>MCMANUS, SHELIA D.</t>
  </si>
  <si>
    <t>CORBETT, TAMARA M.</t>
  </si>
  <si>
    <t>BANKS, KAREN</t>
  </si>
  <si>
    <t>FINANCIAL AID OFFICER I</t>
  </si>
  <si>
    <t>SUMMERVILLE, SAMUEL E.</t>
  </si>
  <si>
    <t>99283B</t>
  </si>
  <si>
    <t>55083B</t>
  </si>
  <si>
    <t>Physical Plant - Structural</t>
  </si>
  <si>
    <t>RODGERS, LARRY W.</t>
  </si>
  <si>
    <t>CARPENTER SUPERVISOR</t>
  </si>
  <si>
    <t>COCKMAN, STEVEN R.</t>
  </si>
  <si>
    <t>RUDOLPH-LYONS, PEGGY A.</t>
  </si>
  <si>
    <t>BRUHL, WINFERD G.</t>
  </si>
  <si>
    <t>KAYS, BILLIE H.</t>
  </si>
  <si>
    <t>ASS'T SPORTS INFO. DIRECTOR</t>
  </si>
  <si>
    <t>MOSER, PORTER</t>
  </si>
  <si>
    <t>STEWART-LANGE, TRACY</t>
  </si>
  <si>
    <t>BULLWINKLE, DAVIS A.</t>
  </si>
  <si>
    <t>GIBSON, JAN L.</t>
  </si>
  <si>
    <t>Counseling and Career Planning Services</t>
  </si>
  <si>
    <t>R99435</t>
  </si>
  <si>
    <t>R99434</t>
  </si>
  <si>
    <t>R99433</t>
  </si>
  <si>
    <t>R99432</t>
  </si>
  <si>
    <t>R99431</t>
  </si>
  <si>
    <t>R99430</t>
  </si>
  <si>
    <t>VC FINANCE/ADMINISTRATION</t>
  </si>
  <si>
    <t>VC UNIVERSITY ADVANCEMENT</t>
  </si>
  <si>
    <t>DATA BASE COORD II - INST</t>
  </si>
  <si>
    <t>INST PERSONNEL SVCS MGR</t>
  </si>
  <si>
    <t>PERSONNEL ASSISTANT II - I</t>
  </si>
  <si>
    <t>ADMIN OFFICE SUPERV</t>
  </si>
  <si>
    <t>DIR INSTITUTIONAL STUDIES</t>
  </si>
  <si>
    <t>670000</t>
  </si>
  <si>
    <t>670510</t>
  </si>
  <si>
    <t>610310</t>
  </si>
  <si>
    <t>610714</t>
  </si>
  <si>
    <t>630000</t>
  </si>
  <si>
    <t>640000</t>
  </si>
  <si>
    <t>610713</t>
  </si>
  <si>
    <t>SALARY RESERVE</t>
  </si>
  <si>
    <t>FRINGE BENEFITS</t>
  </si>
  <si>
    <t>EBSEN, TAMMY A.</t>
  </si>
  <si>
    <t>WILSON, JEANNE</t>
  </si>
  <si>
    <t>PRIOR, JANETTE E.</t>
  </si>
  <si>
    <t>University Telephone</t>
  </si>
  <si>
    <t>Art Studio Lab</t>
  </si>
  <si>
    <t>Music</t>
  </si>
  <si>
    <t>BOURY, ROBERT</t>
  </si>
  <si>
    <t>MOORE, RAY W.</t>
  </si>
  <si>
    <t>Sociology and Anthropology - Computer Lab</t>
  </si>
  <si>
    <t>Theatre Arts/Dance</t>
  </si>
  <si>
    <t>BUTLER, GAIL I.</t>
  </si>
  <si>
    <t>99279B</t>
  </si>
  <si>
    <t>55079B</t>
  </si>
  <si>
    <t>Physical Plant - Plant Engineering</t>
  </si>
  <si>
    <t>SAFETY SUPERVISOR</t>
  </si>
  <si>
    <t>BRAY, BARBARA J.</t>
  </si>
  <si>
    <t>RUSCO, JAMES A.</t>
  </si>
  <si>
    <t>FISHER, KATHLENE M.</t>
  </si>
  <si>
    <t>Testing and Student Life Research</t>
  </si>
  <si>
    <t>UKADIKE, DIANE J.</t>
  </si>
  <si>
    <t>JAUSS, DAVID R.</t>
  </si>
  <si>
    <t>Dean's Theatre Production</t>
  </si>
  <si>
    <t>English</t>
  </si>
  <si>
    <t>ANDERSON, WALTER S.</t>
  </si>
  <si>
    <t>BURNS, RALPH M.</t>
  </si>
  <si>
    <t>STODOLA, K.Z.D.</t>
  </si>
  <si>
    <t>STRICKLAND, JOHNYE E.</t>
  </si>
  <si>
    <t>VANNATTA, DENNIS P.</t>
  </si>
  <si>
    <t>SPARKS JR., CARL W.</t>
  </si>
  <si>
    <t>HARRIS, CHERYL L.</t>
  </si>
  <si>
    <t>HOLLAND, ALLISON D.</t>
  </si>
  <si>
    <t>ISOM, TORAN E.</t>
  </si>
  <si>
    <t>SMITH, MARCIA M.</t>
  </si>
  <si>
    <t>CRISP, SALLY C.</t>
  </si>
  <si>
    <t>FRAZER, JAMES</t>
  </si>
  <si>
    <t>MCCOLLUM, VICKI A.</t>
  </si>
  <si>
    <t>Quality Writing</t>
  </si>
  <si>
    <t>BRODELL, DONALD N.</t>
  </si>
  <si>
    <t>YOUNG, KATHRYN C.</t>
  </si>
  <si>
    <t>GERMAN, PATRICIA R.</t>
  </si>
  <si>
    <t>COMPUTER LAB TECHNICIAN II - INST</t>
  </si>
  <si>
    <t>PLANT, VICKI L.</t>
  </si>
  <si>
    <t>WILKS, CHRIS N.</t>
  </si>
  <si>
    <t>MORGAN, RICHARD A.</t>
  </si>
  <si>
    <t>SKINNER III, JOHN W.</t>
  </si>
  <si>
    <t>BRIGGS, SUSAN A.</t>
  </si>
  <si>
    <t>WEAVER, KIM E.</t>
  </si>
  <si>
    <t>BRIDGES, DORIS J.</t>
  </si>
  <si>
    <t>R98853</t>
  </si>
  <si>
    <t>R98852</t>
  </si>
  <si>
    <t>R98851</t>
  </si>
  <si>
    <t>R98850</t>
  </si>
  <si>
    <t>R98849</t>
  </si>
  <si>
    <t>R98848</t>
  </si>
  <si>
    <t>R98847</t>
  </si>
  <si>
    <t>R98846</t>
  </si>
  <si>
    <t>R98845</t>
  </si>
  <si>
    <t>R98844</t>
  </si>
  <si>
    <t>R98843</t>
  </si>
  <si>
    <t>R98842</t>
  </si>
  <si>
    <t>R98841</t>
  </si>
  <si>
    <t>R98840</t>
  </si>
  <si>
    <t>R98839</t>
  </si>
  <si>
    <t>R98838</t>
  </si>
  <si>
    <t>R98837</t>
  </si>
  <si>
    <t>R98836</t>
  </si>
  <si>
    <t>R98835</t>
  </si>
  <si>
    <t>R98834</t>
  </si>
  <si>
    <t>R98833</t>
  </si>
  <si>
    <t>R98832</t>
  </si>
  <si>
    <t>R98831</t>
  </si>
  <si>
    <t>R98830</t>
  </si>
  <si>
    <t>R98829</t>
  </si>
  <si>
    <t>740200</t>
  </si>
  <si>
    <t>660210</t>
  </si>
  <si>
    <t>420000</t>
  </si>
  <si>
    <t>450100</t>
  </si>
  <si>
    <t>640310</t>
  </si>
  <si>
    <t>230130</t>
  </si>
  <si>
    <t>610612</t>
  </si>
  <si>
    <t>610300</t>
  </si>
  <si>
    <t>610410</t>
  </si>
  <si>
    <t>310000</t>
  </si>
  <si>
    <t>611500</t>
  </si>
  <si>
    <t>660211</t>
  </si>
  <si>
    <t>510012</t>
  </si>
  <si>
    <t>740100</t>
  </si>
  <si>
    <t>650212</t>
  </si>
  <si>
    <t>650210</t>
  </si>
  <si>
    <t>100000</t>
  </si>
  <si>
    <t>620210</t>
  </si>
  <si>
    <t>620410</t>
  </si>
  <si>
    <t>620610</t>
  </si>
  <si>
    <t>620710</t>
  </si>
  <si>
    <t>620310</t>
  </si>
  <si>
    <t>620000</t>
  </si>
  <si>
    <t>640610</t>
  </si>
  <si>
    <t>640611</t>
  </si>
  <si>
    <t>640511</t>
  </si>
  <si>
    <t>640512</t>
  </si>
  <si>
    <t>640530</t>
  </si>
  <si>
    <t>640910</t>
  </si>
  <si>
    <t>640911</t>
  </si>
  <si>
    <t>641010</t>
  </si>
  <si>
    <t>641110</t>
  </si>
  <si>
    <t>641111</t>
  </si>
  <si>
    <t>640210</t>
  </si>
  <si>
    <t>640212</t>
  </si>
  <si>
    <t>R99429</t>
  </si>
  <si>
    <t>R99428</t>
  </si>
  <si>
    <t>R99427</t>
  </si>
  <si>
    <t>R99426</t>
  </si>
  <si>
    <t>R99425</t>
  </si>
  <si>
    <t>R99424</t>
  </si>
  <si>
    <t>R99423</t>
  </si>
  <si>
    <t>R99422</t>
  </si>
  <si>
    <t>R99421</t>
  </si>
  <si>
    <t>R99420</t>
  </si>
  <si>
    <t>R99419</t>
  </si>
  <si>
    <t>R99418</t>
  </si>
  <si>
    <t>R99417</t>
  </si>
  <si>
    <t>R99416</t>
  </si>
  <si>
    <t>R99415</t>
  </si>
  <si>
    <t>R99414</t>
  </si>
  <si>
    <t>R99413</t>
  </si>
  <si>
    <t>R99412</t>
  </si>
  <si>
    <t>R99411</t>
  </si>
  <si>
    <t>R99410</t>
  </si>
  <si>
    <t>R99409</t>
  </si>
  <si>
    <t>R99408</t>
  </si>
  <si>
    <t>R99407</t>
  </si>
  <si>
    <t>R99406</t>
  </si>
  <si>
    <t>R99405</t>
  </si>
  <si>
    <t>R99404</t>
  </si>
  <si>
    <t>R99403</t>
  </si>
  <si>
    <t>R99402</t>
  </si>
  <si>
    <t>R99401</t>
  </si>
  <si>
    <t>R99400</t>
  </si>
  <si>
    <t>R99399</t>
  </si>
  <si>
    <t>R99398</t>
  </si>
  <si>
    <t>R99397</t>
  </si>
  <si>
    <t>R99396</t>
  </si>
  <si>
    <t>R99395</t>
  </si>
  <si>
    <t>R99394</t>
  </si>
  <si>
    <t>R99393</t>
  </si>
  <si>
    <t>R99392</t>
  </si>
  <si>
    <t>R99391</t>
  </si>
  <si>
    <t>R99390</t>
  </si>
  <si>
    <t>R99389</t>
  </si>
  <si>
    <t>R99388</t>
  </si>
  <si>
    <t>R99387</t>
  </si>
  <si>
    <t>R99386</t>
  </si>
  <si>
    <t>R99385</t>
  </si>
  <si>
    <t>R99384</t>
  </si>
  <si>
    <t>R99383</t>
  </si>
  <si>
    <t>R99382</t>
  </si>
  <si>
    <t>R99381</t>
  </si>
  <si>
    <t>R99380</t>
  </si>
  <si>
    <t>R99379</t>
  </si>
  <si>
    <t>R99378</t>
  </si>
  <si>
    <t>R99377</t>
  </si>
  <si>
    <t>R99376</t>
  </si>
  <si>
    <t>R99375</t>
  </si>
  <si>
    <t>R99374</t>
  </si>
  <si>
    <t>R99373</t>
  </si>
  <si>
    <t>R99372</t>
  </si>
  <si>
    <t>R99371</t>
  </si>
  <si>
    <t>R99370</t>
  </si>
  <si>
    <t>R99369</t>
  </si>
  <si>
    <t>R99368</t>
  </si>
  <si>
    <t>R99367</t>
  </si>
  <si>
    <t>R99366</t>
  </si>
  <si>
    <t>R99365</t>
  </si>
  <si>
    <t>R99364</t>
  </si>
  <si>
    <t>R99363</t>
  </si>
  <si>
    <t>R99362</t>
  </si>
  <si>
    <t>R99361</t>
  </si>
  <si>
    <t>R99360</t>
  </si>
  <si>
    <t>R99359</t>
  </si>
  <si>
    <t>R99358</t>
  </si>
  <si>
    <t>R99357</t>
  </si>
  <si>
    <t>R99356</t>
  </si>
  <si>
    <t>R99355</t>
  </si>
  <si>
    <t>R99354</t>
  </si>
  <si>
    <t>R99353</t>
  </si>
  <si>
    <t>R99352</t>
  </si>
  <si>
    <t>R99351</t>
  </si>
  <si>
    <t>R99350</t>
  </si>
  <si>
    <t>R99349</t>
  </si>
  <si>
    <t>R99348</t>
  </si>
  <si>
    <t>R99347</t>
  </si>
  <si>
    <t>R99346</t>
  </si>
  <si>
    <t>R99345</t>
  </si>
  <si>
    <t>R99344</t>
  </si>
  <si>
    <t>R99343</t>
  </si>
  <si>
    <t>R99342</t>
  </si>
  <si>
    <t>R99341</t>
  </si>
  <si>
    <t>R99340</t>
  </si>
  <si>
    <t>R99339</t>
  </si>
  <si>
    <t>R99337</t>
  </si>
  <si>
    <t>R99336</t>
  </si>
  <si>
    <t>R99334</t>
  </si>
  <si>
    <t>R99333</t>
  </si>
  <si>
    <t>R99332</t>
  </si>
  <si>
    <t>R99331</t>
  </si>
  <si>
    <t>R99330</t>
  </si>
  <si>
    <t>R99329</t>
  </si>
  <si>
    <t>R99328</t>
  </si>
  <si>
    <t>R99327</t>
  </si>
  <si>
    <t>R99326</t>
  </si>
  <si>
    <t>R99325</t>
  </si>
  <si>
    <t>R99324</t>
  </si>
  <si>
    <t>R99323</t>
  </si>
  <si>
    <t>R99322</t>
  </si>
  <si>
    <t>R99321</t>
  </si>
  <si>
    <t>R99320</t>
  </si>
  <si>
    <t>R99319</t>
  </si>
  <si>
    <t>R99318</t>
  </si>
  <si>
    <t>R99317</t>
  </si>
  <si>
    <t>R99316</t>
  </si>
  <si>
    <t>R99315</t>
  </si>
  <si>
    <t>R99314</t>
  </si>
  <si>
    <t>R99313</t>
  </si>
  <si>
    <t>R99312</t>
  </si>
  <si>
    <t>R99311</t>
  </si>
  <si>
    <t>R99310</t>
  </si>
  <si>
    <t>R99309</t>
  </si>
  <si>
    <t>R99308</t>
  </si>
  <si>
    <t>R99307</t>
  </si>
  <si>
    <t>R99306</t>
  </si>
  <si>
    <t>R99305</t>
  </si>
  <si>
    <t>R99304</t>
  </si>
  <si>
    <t>R99303</t>
  </si>
  <si>
    <t>R99302</t>
  </si>
  <si>
    <t>R99301</t>
  </si>
  <si>
    <t>R99300</t>
  </si>
  <si>
    <t>R99299</t>
  </si>
  <si>
    <t>R99298</t>
  </si>
  <si>
    <t>GALCHUS, KENNETH E.</t>
  </si>
  <si>
    <t>ASSOCIATE DEAN</t>
  </si>
  <si>
    <t>THOMAS, GLORIA B.</t>
  </si>
  <si>
    <t>PURDIE, JACK F.</t>
  </si>
  <si>
    <t>MCCOY, JOANN Y.</t>
  </si>
  <si>
    <t>MILLSAP, JAMES L.</t>
  </si>
  <si>
    <t>LEONARD, EDDIE</t>
  </si>
  <si>
    <t>POSNER, DAVID L.</t>
  </si>
  <si>
    <t>PRESLEY, DORIS J.</t>
  </si>
  <si>
    <t>GAGE, HEATHER</t>
  </si>
  <si>
    <t>JOHNSON, CHAD</t>
  </si>
  <si>
    <t>BURNETT, AMY</t>
  </si>
  <si>
    <t>Psychology - Computer Lab</t>
  </si>
  <si>
    <t>Political Science</t>
  </si>
  <si>
    <t>RICE, DARYL H.</t>
  </si>
  <si>
    <t>Fine Arts Core</t>
  </si>
  <si>
    <t>Dean-Graduate School</t>
  </si>
  <si>
    <t>HANSON, RICHARD H.</t>
  </si>
  <si>
    <t>SHEEN, PATTY C.</t>
  </si>
  <si>
    <t>WALLACE, KRISTI L.</t>
  </si>
  <si>
    <t>WALKER, MINNIE O.</t>
  </si>
  <si>
    <t>WHITE, PATTI J.</t>
  </si>
  <si>
    <t>Graduate School Orientation Program</t>
  </si>
  <si>
    <t>Dean-School of Law</t>
  </si>
  <si>
    <t>SMITH, RODNEY K.</t>
  </si>
  <si>
    <t>DEBT RETIREMENT</t>
  </si>
  <si>
    <t>Athletic Facility Transfer</t>
  </si>
  <si>
    <t>TRANSFER FROM ATHLETICS</t>
  </si>
  <si>
    <t>HEAD BASKETBALL COACH</t>
  </si>
  <si>
    <t>FINLEY, CLARENCE B.</t>
  </si>
  <si>
    <t>FRICKE, KEVIN L.</t>
  </si>
  <si>
    <t>STUDENT ASSISTANT</t>
  </si>
  <si>
    <t>SCHOLARSHIPS</t>
  </si>
  <si>
    <t>Basketball (Women)</t>
  </si>
  <si>
    <t>HEAD COACH</t>
  </si>
  <si>
    <t>Mathematics and Statistics</t>
  </si>
  <si>
    <t>JOHNSON, ALAN M.</t>
  </si>
  <si>
    <t>COX, CASSANDRA L.</t>
  </si>
  <si>
    <t>FULMER, JAMES R.</t>
  </si>
  <si>
    <t>MCCALLUM, DANIEL 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</si>
</sst>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2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d\,\ yyyy"/>
    <numFmt numFmtId="165" formatCode=";;;"/>
    <numFmt numFmtId="189" formatCode="_ * #,##0_)&quot;$&quot;_ ;_ * \(#,##0\)&quot;$&quot;_ ;_ * &quot;-&quot;_)&quot;$&quot;_ ;_ @_ "/>
    <numFmt numFmtId="190" formatCode="_ * #,##0_)_$_ ;_ * \(#,##0\)_$_ ;_ * &quot;-&quot;_)_$_ ;_ @_ "/>
    <numFmt numFmtId="191" formatCode="_ * #,##0.00_)&quot;$&quot;_ ;_ * \(#,##0.00\)&quot;$&quot;_ ;_ * &quot;-&quot;??_)&quot;$&quot;_ ;_ @_ "/>
    <numFmt numFmtId="192" formatCode="_ * #,##0.00_)_$_ ;_ * \(#,##0.00\)_$_ ;_ * &quot;-&quot;??_)_$_ ;_ @_ "/>
    <numFmt numFmtId="194" formatCode="&quot;$&quot;#,##0;[Red]\-&quot;$&quot;#,##0"/>
    <numFmt numFmtId="196" formatCode="&quot;$&quot;#,##0.00;[Red]\-&quot;$&quot;#,##0.00"/>
    <numFmt numFmtId="197" formatCode="m/yy"/>
    <numFmt numFmtId="198" formatCode="0000"/>
    <numFmt numFmtId="201" formatCode="_(* #,##0.0_);_(* \(#,##0.0\);_(* &quot;-&quot;??_);_(@_)"/>
    <numFmt numFmtId="202" formatCode="_(* #,##0_);_(* \(#,##0\);_(* &quot;-&quot;??_);_(@_)"/>
    <numFmt numFmtId="203" formatCode="General_)"/>
    <numFmt numFmtId="210" formatCode="_(&quot;$&quot;* #,##0.0_);_(&quot;$&quot;* \(#,##0.0\);_(&quot;$&quot;* &quot;-&quot;??_);_(@_)"/>
    <numFmt numFmtId="211" formatCode="0.0000000"/>
    <numFmt numFmtId="212" formatCode="0.000000"/>
    <numFmt numFmtId="213" formatCode="0.00000"/>
    <numFmt numFmtId="214" formatCode="0.0000"/>
    <numFmt numFmtId="215" formatCode="0.000"/>
    <numFmt numFmtId="219" formatCode="#,##0.0_);\(#,##0.0\)"/>
    <numFmt numFmtId="220" formatCode="#,##0.000_);\(#,##0.000\)"/>
    <numFmt numFmtId="233" formatCode="0.0000%"/>
    <numFmt numFmtId="241" formatCode="&quot;$&quot;#,##0.000_);\(&quot;$&quot;#,##0.000\)"/>
    <numFmt numFmtId="242" formatCode="&quot;$&quot;#,##0.0000_);\(&quot;$&quot;#,##0.0000\)"/>
    <numFmt numFmtId="247" formatCode="&quot;£&quot;#,##0;[Red]\-&quot;£&quot;#,##0"/>
    <numFmt numFmtId="249" formatCode="&quot;£&quot;#,##0.00;[Red]\-&quot;£&quot;#,##0.00"/>
    <numFmt numFmtId="250" formatCode="_-&quot;£&quot;* #,##0_-;\-&quot;£&quot;* #,##0_-;_-&quot;£&quot;* &quot;-&quot;_-;_-@_-"/>
    <numFmt numFmtId="251" formatCode="_-&quot;£&quot;* #,##0.00_-;\-&quot;£&quot;* #,##0.00_-;_-&quot;£&quot;* &quot;-&quot;??_-;_-@_-"/>
    <numFmt numFmtId="253" formatCode="_-* #,##0.0_-;\-* #,##0.0_-;_-* &quot;-&quot;??_-;_-@_-"/>
    <numFmt numFmtId="254" formatCode="_-* #,##0_-;\-* #,##0_-;_-* &quot;-&quot;??_-;_-@_-"/>
    <numFmt numFmtId="255" formatCode="#,##0.0;[Red]\(#,##0.0\)"/>
    <numFmt numFmtId="256" formatCode="0.0%;[Red]\(0.0%\)"/>
    <numFmt numFmtId="262" formatCode="_ &quot;SFr.&quot;* #,##0_ ;_ &quot;SFr.&quot;* \-#,##0_ ;_ &quot;SFr.&quot;* &quot;-&quot;_ ;_ @_ "/>
    <numFmt numFmtId="263" formatCode="_ * #,##0_ ;_ * \-#,##0_ ;_ * &quot;-&quot;_ ;_ @_ "/>
    <numFmt numFmtId="264" formatCode="_ &quot;SFr.&quot;* #,##0.00_ ;_ &quot;SFr.&quot;* \-#,##0.00_ ;_ &quot;SFr.&quot;* &quot;-&quot;??_ ;_ @_ "/>
    <numFmt numFmtId="265" formatCode="_ * #,##0.00_ ;_ * \-#,##0.00_ ;_ * &quot;-&quot;??_ ;_ @_ "/>
    <numFmt numFmtId="268" formatCode="#,##0.0000;[Red]\(#,##0.0000\)"/>
    <numFmt numFmtId="270" formatCode="#,##0.0000_);\(#,##0.0000\)"/>
    <numFmt numFmtId="271" formatCode="m/d"/>
    <numFmt numFmtId="272" formatCode="#,##0&quot;£&quot;_);\(#,##0&quot;£&quot;\)"/>
    <numFmt numFmtId="273" formatCode="#,##0&quot;£&quot;_);[Red]\(#,##0&quot;£&quot;\)"/>
    <numFmt numFmtId="274" formatCode="#,##0.00&quot;£&quot;_);\(#,##0.00&quot;£&quot;\)"/>
    <numFmt numFmtId="275" formatCode="#,##0.00&quot;£&quot;_);[Red]\(#,##0.00&quot;£&quot;\)"/>
    <numFmt numFmtId="276" formatCode="_ * #,##0_)&quot;£&quot;_ ;_ * \(#,##0\)&quot;£&quot;_ ;_ * &quot;-&quot;_)&quot;£&quot;_ ;_ @_ "/>
    <numFmt numFmtId="277" formatCode="_ * #,##0_)_£_ ;_ * \(#,##0\)_£_ ;_ * &quot;-&quot;_)_£_ ;_ @_ "/>
    <numFmt numFmtId="278" formatCode="_ * #,##0.00_)&quot;£&quot;_ ;_ * \(#,##0.00\)&quot;£&quot;_ ;_ * &quot;-&quot;??_)&quot;£&quot;_ ;_ @_ "/>
    <numFmt numFmtId="280" formatCode="#,##0\ &quot;F&quot;;\-#,##0\ &quot;F&quot;"/>
    <numFmt numFmtId="282" formatCode="#,##0.00\ &quot;F&quot;;\-#,##0.00\ &quot;F&quot;"/>
    <numFmt numFmtId="283" formatCode="#,##0.00\ &quot;F&quot;;[Red]\-#,##0.00\ &quot;F&quot;"/>
    <numFmt numFmtId="284" formatCode="_-* #,##0\ &quot;F&quot;_-;\-* #,##0\ &quot;F&quot;_-;_-* &quot;-&quot;\ &quot;F&quot;_-;_-@_-"/>
    <numFmt numFmtId="285" formatCode="_-* #,##0\ _F_-;\-* #,##0\ _F_-;_-* &quot;-&quot;\ _F_-;_-@_-"/>
    <numFmt numFmtId="286" formatCode="_-* #,##0.00\ &quot;F&quot;_-;\-* #,##0.00\ &quot;F&quot;_-;_-* &quot;-&quot;??\ &quot;F&quot;_-;_-@_-"/>
    <numFmt numFmtId="287" formatCode="_-* #,##0.00\ _F_-;\-* #,##0.00\ _F_-;_-* &quot;-&quot;??\ _F_-;_-@_-"/>
    <numFmt numFmtId="289" formatCode="d/m/yy\ h:mm"/>
    <numFmt numFmtId="290" formatCode="#,##0&quot; F&quot;_);\(#,##0&quot; F&quot;\)"/>
    <numFmt numFmtId="292" formatCode="#,##0.00&quot; F&quot;_);\(#,##0.00&quot; F&quot;\)"/>
    <numFmt numFmtId="293" formatCode="#,##0.00&quot; F&quot;_);[Red]\(#,##0.00&quot; F&quot;\)"/>
    <numFmt numFmtId="294" formatCode="#,##0&quot; $&quot;;\-#,##0&quot; $&quot;"/>
    <numFmt numFmtId="295" formatCode="#,##0&quot; $&quot;;[Red]\-#,##0&quot; $&quot;"/>
    <numFmt numFmtId="297" formatCode="#,##0.00&quot; $&quot;;[Red]\-#,##0.00&quot; $&quot;"/>
    <numFmt numFmtId="303" formatCode="0&quot;  &quot;"/>
    <numFmt numFmtId="304" formatCode="0.00&quot;  &quot;"/>
    <numFmt numFmtId="309" formatCode="hh:mm"/>
    <numFmt numFmtId="310" formatCode="hh:mm:ss"/>
    <numFmt numFmtId="311" formatCode="m/d/yy\ hh:mm"/>
    <numFmt numFmtId="312" formatCode="00#####"/>
    <numFmt numFmtId="313" formatCode="00######"/>
    <numFmt numFmtId="315" formatCode="000000000000"/>
    <numFmt numFmtId="316" formatCode="0.00;[Red]0.00"/>
    <numFmt numFmtId="317" formatCode="0;[Red]0"/>
    <numFmt numFmtId="318" formatCode="0.00_);[Red]\(0.00\)"/>
    <numFmt numFmtId="319" formatCode="0.00_);\(0.00\)"/>
    <numFmt numFmtId="321" formatCode="0_);\(0\)"/>
    <numFmt numFmtId="325" formatCode="0.0000_);[Red]\(0.0000\)"/>
    <numFmt numFmtId="327" formatCode="#,##0,_);\(#,##0,\)"/>
    <numFmt numFmtId="328" formatCode="0%;\(0%\)"/>
    <numFmt numFmtId="331" formatCode="_(* #,##0_);_(* \(#,##0\);_(* &quot;-&quot;_)"/>
    <numFmt numFmtId="332" formatCode="_(* #,##0,_);_(* \(#,##0,\);_(* &quot;-&quot;_)"/>
    <numFmt numFmtId="333" formatCode=";;"/>
    <numFmt numFmtId="334" formatCode="\ \ \ \ \ @"/>
    <numFmt numFmtId="335" formatCode="\ \ \ \ \ \ \ \ \ @"/>
    <numFmt numFmtId="336" formatCode="&quot;    &quot;@"/>
    <numFmt numFmtId="337" formatCode="0%_);\(0%\)"/>
    <numFmt numFmtId="338" formatCode="mmmm\ dd\,\ yyyy"/>
    <numFmt numFmtId="339" formatCode="_(* #,##0,_);_(* \(#,##0,\);_(* &quot;-&quot;_);_(@_)"/>
    <numFmt numFmtId="340" formatCode="_(* 0%_);_(* \(0%\);_(* &quot;-&quot;_);_(@_)"/>
    <numFmt numFmtId="341" formatCode=".0%;\(.0%\)"/>
    <numFmt numFmtId="342" formatCode="_(* #,##0_);[Red]_(* \(#,##0\);_(* &quot; - &quot;_);_(@_)"/>
    <numFmt numFmtId="343" formatCode="_(* #,##0,_);[Red]_(* \(#,##0,\);_(* &quot; - &quot;_);_(@_)"/>
    <numFmt numFmtId="344" formatCode="_(* #,##0,_);[Red]_(* \(#,##0,\);_(* &quot;&quot;\ \-\ &quot;&quot;_);_(@_)"/>
    <numFmt numFmtId="345" formatCode="_(* #,##0_);[Red]_(* \(#,##0\);_(* &quot;&quot;\ \-\ &quot;&quot;_);_(@_)"/>
    <numFmt numFmtId="346" formatCode="_(* #,##0_);[Red]_(* \(#,##0\);_(* &quot;&quot;&quot;&quot;\ \-\ &quot;&quot;&quot;&quot;_);_(@_)"/>
    <numFmt numFmtId="347" formatCode="_(* #,##0,_);[Red]_(* \(#,##0,\);_(* &quot;&quot;&quot;&quot;\ \-\ &quot;&quot;&quot;&quot;_);_(@_)"/>
    <numFmt numFmtId="348" formatCode="_(* #,##0,,_);_(* \(#,##0,,\);_(* &quot;-&quot;_)"/>
    <numFmt numFmtId="349" formatCode="_(* #,##0_);[Red]_(* \(#,##0\);_(* &quot;&quot;&quot;&quot;&quot;&quot;&quot;&quot;\ \-\ &quot;&quot;&quot;&quot;&quot;&quot;&quot;&quot;_);_(@_)"/>
    <numFmt numFmtId="350" formatCode="_(* #,##0,_);[Red]_(* \(#,##0,\);_(* &quot;&quot;&quot;&quot;&quot;&quot;&quot;&quot;\ \-\ &quot;&quot;&quot;&quot;&quot;&quot;&quot;&quot;_);_(@_)"/>
    <numFmt numFmtId="351" formatCode="0%;\(0%\);;"/>
    <numFmt numFmtId="352" formatCode="0%;\(0%\);&quot;-&quot;"/>
    <numFmt numFmtId="353" formatCode="#,##0_);[Red]\(#,##0\);&quot;-&quot;"/>
    <numFmt numFmtId="354" formatCode="*-"/>
    <numFmt numFmtId="356" formatCode="*-;*-;*-"/>
    <numFmt numFmtId="357" formatCode="*-;*-;*-;*-"/>
    <numFmt numFmtId="358" formatCode="*-;*-;*-;\|*-"/>
    <numFmt numFmtId="359" formatCode="*-;*-;*-;*-\|"/>
  </numFmts>
  <fonts count="52">
    <font>
      <sz val="10"/>
      <name val="Geneva"/>
    </font>
    <font>
      <sz val="10"/>
      <name val="Geneva"/>
    </font>
    <font>
      <sz val="10"/>
      <color indexed="8"/>
      <name val="Courier"/>
    </font>
    <font>
      <sz val="10"/>
      <name val="Courier"/>
    </font>
    <font>
      <sz val="10"/>
      <color indexed="10"/>
      <name val="Courier"/>
    </font>
    <font>
      <sz val="10"/>
      <name val="Arial"/>
    </font>
    <font>
      <sz val="8"/>
      <name val="Arial Narrow"/>
    </font>
    <font>
      <sz val="8"/>
      <name val="Times New Roman"/>
      <family val="1"/>
    </font>
    <font>
      <sz val="6"/>
      <name val="Times New Roman"/>
      <family val="1"/>
    </font>
    <font>
      <sz val="8"/>
      <name val="Arial"/>
    </font>
    <font>
      <sz val="10"/>
      <name val="Arial"/>
      <family val="2"/>
    </font>
    <font>
      <b/>
      <sz val="9.5"/>
      <name val="Courier"/>
    </font>
    <font>
      <sz val="10"/>
      <name val="Book Antiqua"/>
    </font>
    <font>
      <sz val="10"/>
      <name val="MS Sans Serif"/>
    </font>
    <font>
      <sz val="8"/>
      <name val="Arial"/>
      <family val="2"/>
    </font>
    <font>
      <sz val="10"/>
      <name val="Times New Roman"/>
    </font>
    <font>
      <sz val="10"/>
      <name val="New York"/>
    </font>
    <font>
      <sz val="8"/>
      <name val="Times New Roman"/>
    </font>
    <font>
      <sz val="10"/>
      <name val="MS Sans Serif"/>
      <family val="2"/>
    </font>
    <font>
      <sz val="10"/>
      <name val="Helv"/>
    </font>
    <font>
      <sz val="12"/>
      <name val="Arial Narrow"/>
    </font>
    <font>
      <sz val="10"/>
      <name val="Bookman Old Style"/>
    </font>
    <font>
      <b/>
      <sz val="9.85"/>
      <name val="Times New Roman"/>
    </font>
    <font>
      <sz val="12"/>
      <name val="·s²Ó©úÅé"/>
      <charset val="136"/>
    </font>
    <font>
      <b/>
      <sz val="12"/>
      <name val="Times New Roman"/>
    </font>
    <font>
      <b/>
      <sz val="12"/>
      <name val="Palatino"/>
    </font>
    <font>
      <sz val="10"/>
      <color indexed="8"/>
      <name val="Arial"/>
      <family val="2"/>
    </font>
    <font>
      <b/>
      <sz val="12"/>
      <name val="Arial"/>
      <family val="2"/>
    </font>
    <font>
      <u/>
      <sz val="10"/>
      <color indexed="12"/>
      <name val="Arial"/>
    </font>
    <font>
      <sz val="9"/>
      <name val="Times New Roman"/>
    </font>
    <font>
      <sz val="10"/>
      <name val="Arial"/>
      <charset val="136"/>
    </font>
    <font>
      <sz val="10"/>
      <name val="Times New Roman"/>
      <family val="1"/>
    </font>
    <font>
      <sz val="11"/>
      <name val="Arial"/>
    </font>
    <font>
      <sz val="10"/>
      <color indexed="8"/>
      <name val="MS Sans Serif"/>
    </font>
    <font>
      <sz val="12"/>
      <name val="Comic Sans MS"/>
    </font>
    <font>
      <sz val="12"/>
      <name val="Courier"/>
    </font>
    <font>
      <sz val="10"/>
      <name val="Univers (W1)"/>
    </font>
    <font>
      <sz val="12"/>
      <name val="Times New Roman"/>
    </font>
    <font>
      <sz val="7"/>
      <name val="Times New Roman"/>
      <family val="1"/>
    </font>
    <font>
      <sz val="12"/>
      <name val="Arial"/>
    </font>
    <font>
      <sz val="12"/>
      <name val="Palatino"/>
    </font>
    <font>
      <sz val="10"/>
      <name val="Century Gothic"/>
    </font>
    <font>
      <sz val="10"/>
      <name val="Arial Rounded MT Bold"/>
    </font>
    <font>
      <sz val="12"/>
      <name val="Century Schoolbook"/>
    </font>
    <font>
      <sz val="12"/>
      <name val="Helv"/>
    </font>
    <font>
      <sz val="10"/>
      <name val="Times"/>
    </font>
    <font>
      <sz val="8.5"/>
      <name val="Times New Roman"/>
    </font>
    <font>
      <sz val="8"/>
      <name val="Century Schoolbook"/>
    </font>
    <font>
      <sz val="9.85"/>
      <name val="Times New Roman"/>
    </font>
    <font>
      <b/>
      <sz val="10"/>
      <name val="Courier"/>
      <family val="3"/>
    </font>
    <font>
      <sz val="10"/>
      <color indexed="10"/>
      <name val="Courier"/>
      <family val="3"/>
    </font>
    <font>
      <sz val="10"/>
      <name val="Courier"/>
      <family val="3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5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8">
    <xf numFmtId="0" fontId="0" fillId="0" borderId="0"/>
    <xf numFmtId="339" fontId="5" fillId="0" borderId="0" applyFill="0" applyBorder="0" applyAlignment="0"/>
    <xf numFmtId="345" fontId="7" fillId="0" borderId="0" applyFill="0" applyBorder="0" applyAlignment="0"/>
    <xf numFmtId="346" fontId="7" fillId="0" borderId="0" applyFill="0" applyBorder="0" applyAlignment="0"/>
    <xf numFmtId="347" fontId="7" fillId="0" borderId="0" applyFill="0" applyBorder="0" applyAlignment="0"/>
    <xf numFmtId="348" fontId="7" fillId="0" borderId="0" applyFill="0" applyBorder="0" applyAlignment="0"/>
    <xf numFmtId="339" fontId="5" fillId="0" borderId="0" applyFill="0" applyBorder="0" applyAlignment="0"/>
    <xf numFmtId="349" fontId="7" fillId="0" borderId="0" applyFill="0" applyBorder="0" applyAlignment="0"/>
    <xf numFmtId="345" fontId="7" fillId="0" borderId="0" applyFill="0" applyBorder="0" applyAlignment="0"/>
    <xf numFmtId="339" fontId="5" fillId="0" borderId="0" applyFont="0" applyFill="0" applyBorder="0" applyAlignment="0" applyProtection="0"/>
    <xf numFmtId="345" fontId="7" fillId="0" borderId="0" applyFont="0" applyFill="0" applyBorder="0" applyAlignment="0" applyProtection="0"/>
    <xf numFmtId="14" fontId="26" fillId="0" borderId="0" applyFill="0" applyBorder="0" applyAlignment="0"/>
    <xf numFmtId="339" fontId="5" fillId="0" borderId="0" applyFill="0" applyBorder="0" applyAlignment="0"/>
    <xf numFmtId="345" fontId="7" fillId="0" borderId="0" applyFill="0" applyBorder="0" applyAlignment="0"/>
    <xf numFmtId="339" fontId="5" fillId="0" borderId="0" applyFill="0" applyBorder="0" applyAlignment="0"/>
    <xf numFmtId="349" fontId="7" fillId="0" borderId="0" applyFill="0" applyBorder="0" applyAlignment="0"/>
    <xf numFmtId="345" fontId="7" fillId="0" borderId="0" applyFill="0" applyBorder="0" applyAlignment="0"/>
    <xf numFmtId="38" fontId="14" fillId="2" borderId="0" applyNumberFormat="0" applyBorder="0" applyAlignment="0" applyProtection="0"/>
    <xf numFmtId="0" fontId="27" fillId="0" borderId="2" applyNumberFormat="0" applyAlignment="0" applyProtection="0">
      <alignment horizontal="left" vertical="center"/>
    </xf>
    <xf numFmtId="0" fontId="27" fillId="0" borderId="3">
      <alignment horizontal="left" vertical="center"/>
    </xf>
    <xf numFmtId="10" fontId="14" fillId="3" borderId="4" applyNumberFormat="0" applyBorder="0" applyAlignment="0" applyProtection="0"/>
    <xf numFmtId="339" fontId="5" fillId="0" borderId="0" applyFill="0" applyBorder="0" applyAlignment="0"/>
    <xf numFmtId="345" fontId="7" fillId="0" borderId="0" applyFill="0" applyBorder="0" applyAlignment="0"/>
    <xf numFmtId="339" fontId="5" fillId="0" borderId="0" applyFill="0" applyBorder="0" applyAlignment="0"/>
    <xf numFmtId="349" fontId="7" fillId="0" borderId="0" applyFill="0" applyBorder="0" applyAlignment="0"/>
    <xf numFmtId="345" fontId="7" fillId="0" borderId="0" applyFill="0" applyBorder="0" applyAlignment="0"/>
    <xf numFmtId="357" fontId="5" fillId="0" borderId="0"/>
    <xf numFmtId="348" fontId="7" fillId="0" borderId="0" applyFont="0" applyFill="0" applyBorder="0" applyAlignment="0" applyProtection="0"/>
    <xf numFmtId="328" fontId="10" fillId="0" borderId="0" applyFont="0" applyFill="0" applyBorder="0" applyAlignment="0" applyProtection="0"/>
    <xf numFmtId="10" fontId="5" fillId="0" borderId="0" applyFont="0" applyFill="0" applyBorder="0" applyAlignment="0" applyProtection="0"/>
    <xf numFmtId="339" fontId="5" fillId="0" borderId="0" applyFill="0" applyBorder="0" applyAlignment="0"/>
    <xf numFmtId="345" fontId="7" fillId="0" borderId="0" applyFill="0" applyBorder="0" applyAlignment="0"/>
    <xf numFmtId="339" fontId="5" fillId="0" borderId="0" applyFill="0" applyBorder="0" applyAlignment="0"/>
    <xf numFmtId="349" fontId="7" fillId="0" borderId="0" applyFill="0" applyBorder="0" applyAlignment="0"/>
    <xf numFmtId="345" fontId="7" fillId="0" borderId="0" applyFill="0" applyBorder="0" applyAlignment="0"/>
    <xf numFmtId="49" fontId="26" fillId="0" borderId="0" applyFill="0" applyBorder="0" applyAlignment="0"/>
    <xf numFmtId="350" fontId="7" fillId="0" borderId="0" applyFill="0" applyBorder="0" applyAlignment="0"/>
    <xf numFmtId="351" fontId="7" fillId="0" borderId="0" applyFill="0" applyBorder="0" applyAlignment="0"/>
  </cellStyleXfs>
  <cellXfs count="40">
    <xf numFmtId="0" fontId="0" fillId="0" borderId="0" xfId="0"/>
    <xf numFmtId="49" fontId="2" fillId="0" borderId="0" xfId="0" applyNumberFormat="1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/>
    <xf numFmtId="49" fontId="3" fillId="0" borderId="0" xfId="0" applyNumberFormat="1" applyFont="1"/>
    <xf numFmtId="49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NumberFormat="1" applyFont="1" applyAlignment="1">
      <alignment horizontal="left"/>
    </xf>
    <xf numFmtId="49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right"/>
    </xf>
    <xf numFmtId="0" fontId="4" fillId="0" borderId="0" xfId="0" applyFont="1"/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49" fontId="49" fillId="0" borderId="0" xfId="0" applyNumberFormat="1" applyFont="1"/>
    <xf numFmtId="49" fontId="3" fillId="0" borderId="0" xfId="0" applyNumberFormat="1" applyFont="1" applyFill="1" applyAlignment="1">
      <alignment horizontal="left"/>
    </xf>
    <xf numFmtId="49" fontId="3" fillId="0" borderId="0" xfId="0" applyNumberFormat="1" applyFont="1" applyFill="1"/>
    <xf numFmtId="0" fontId="3" fillId="0" borderId="0" xfId="0" applyFont="1" applyFill="1"/>
    <xf numFmtId="49" fontId="3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right"/>
    </xf>
    <xf numFmtId="49" fontId="51" fillId="0" borderId="0" xfId="0" applyNumberFormat="1" applyFont="1" applyAlignment="1">
      <alignment horizontal="right"/>
    </xf>
    <xf numFmtId="0" fontId="3" fillId="0" borderId="0" xfId="0" quotePrefix="1" applyFont="1" applyAlignment="1">
      <alignment horizontal="right"/>
    </xf>
    <xf numFmtId="0" fontId="51" fillId="0" borderId="0" xfId="0" applyFont="1"/>
    <xf numFmtId="0" fontId="3" fillId="0" borderId="0" xfId="0" applyNumberFormat="1" applyFont="1"/>
    <xf numFmtId="0" fontId="3" fillId="0" borderId="0" xfId="0" applyFont="1" applyFill="1" applyAlignment="1">
      <alignment horizontal="left"/>
    </xf>
    <xf numFmtId="0" fontId="3" fillId="0" borderId="0" xfId="0" applyNumberFormat="1" applyFont="1" applyFill="1"/>
    <xf numFmtId="49" fontId="3" fillId="0" borderId="0" xfId="0" applyNumberFormat="1" applyFont="1" applyFill="1" applyAlignment="1">
      <alignment horizontal="right"/>
    </xf>
    <xf numFmtId="0" fontId="3" fillId="0" borderId="0" xfId="0" quotePrefix="1" applyFont="1" applyFill="1" applyAlignment="1">
      <alignment horizontal="right"/>
    </xf>
    <xf numFmtId="0" fontId="3" fillId="0" borderId="0" xfId="0" quotePrefix="1" applyFont="1" applyFill="1" applyAlignment="1">
      <alignment horizontal="left"/>
    </xf>
    <xf numFmtId="37" fontId="3" fillId="0" borderId="0" xfId="0" applyNumberFormat="1" applyFont="1"/>
    <xf numFmtId="37" fontId="3" fillId="0" borderId="0" xfId="0" applyNumberFormat="1" applyFont="1" applyAlignment="1">
      <alignment horizontal="right"/>
    </xf>
    <xf numFmtId="37" fontId="3" fillId="0" borderId="0" xfId="0" applyNumberFormat="1" applyFont="1" applyFill="1"/>
    <xf numFmtId="37" fontId="2" fillId="0" borderId="0" xfId="0" applyNumberFormat="1" applyFont="1"/>
    <xf numFmtId="37" fontId="50" fillId="0" borderId="0" xfId="0" applyNumberFormat="1" applyFont="1"/>
    <xf numFmtId="37" fontId="51" fillId="0" borderId="0" xfId="0" applyNumberFormat="1" applyFont="1"/>
    <xf numFmtId="37" fontId="3" fillId="4" borderId="0" xfId="0" applyNumberFormat="1" applyFont="1" applyFill="1" applyAlignment="1">
      <alignment horizontal="right"/>
    </xf>
    <xf numFmtId="37" fontId="3" fillId="4" borderId="0" xfId="0" applyNumberFormat="1" applyFont="1" applyFill="1"/>
  </cellXfs>
  <cellStyles count="38">
    <cellStyle name="Calc Currency (0)" xfId="1"/>
    <cellStyle name="Calc Currency (2)" xfId="2"/>
    <cellStyle name="Calc Percent (0)" xfId="3"/>
    <cellStyle name="Calc Percent (1)" xfId="4"/>
    <cellStyle name="Calc Percent (2)" xfId="5"/>
    <cellStyle name="Calc Units (0)" xfId="6"/>
    <cellStyle name="Calc Units (1)" xfId="7"/>
    <cellStyle name="Calc Units (2)" xfId="8"/>
    <cellStyle name="Comma [00]" xfId="9"/>
    <cellStyle name="Currency [00]" xfId="10"/>
    <cellStyle name="Date Short" xfId="11"/>
    <cellStyle name="Enter Currency (0)" xfId="12"/>
    <cellStyle name="Enter Currency (2)" xfId="13"/>
    <cellStyle name="Enter Units (0)" xfId="14"/>
    <cellStyle name="Enter Units (1)" xfId="15"/>
    <cellStyle name="Enter Units (2)" xfId="16"/>
    <cellStyle name="Grey" xfId="17"/>
    <cellStyle name="Header1" xfId="18"/>
    <cellStyle name="Header2" xfId="19"/>
    <cellStyle name="Input [yellow]" xfId="20"/>
    <cellStyle name="Link Currency (0)" xfId="21"/>
    <cellStyle name="Link Currency (2)" xfId="22"/>
    <cellStyle name="Link Units (0)" xfId="23"/>
    <cellStyle name="Link Units (1)" xfId="24"/>
    <cellStyle name="Link Units (2)" xfId="25"/>
    <cellStyle name="Normal" xfId="0" builtinId="0"/>
    <cellStyle name="Normal - Style1" xfId="26"/>
    <cellStyle name="Percent [0]" xfId="27"/>
    <cellStyle name="Percent [00]" xfId="28"/>
    <cellStyle name="Percent [2]" xfId="29"/>
    <cellStyle name="PrePop Currency (0)" xfId="30"/>
    <cellStyle name="PrePop Currency (2)" xfId="31"/>
    <cellStyle name="PrePop Units (0)" xfId="32"/>
    <cellStyle name="PrePop Units (1)" xfId="33"/>
    <cellStyle name="PrePop Units (2)" xfId="34"/>
    <cellStyle name="Text Indent A" xfId="35"/>
    <cellStyle name="Text Indent B" xfId="36"/>
    <cellStyle name="Text Indent C" xfId="3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631"/>
  <sheetViews>
    <sheetView showZeros="0" tabSelected="1" zoomScaleNormal="100" workbookViewId="0">
      <pane xSplit="2" topLeftCell="C1" activePane="topRight" state="frozen"/>
      <selection activeCell="A3065" sqref="A3065"/>
      <selection pane="topRight" activeCell="C1" sqref="C1"/>
    </sheetView>
  </sheetViews>
  <sheetFormatPr defaultColWidth="10.7109375" defaultRowHeight="12"/>
  <cols>
    <col min="1" max="1" width="9.7109375" style="10" customWidth="1"/>
    <col min="2" max="2" width="25.7109375" style="4" customWidth="1"/>
    <col min="3" max="3" width="46.7109375" style="4" bestFit="1" customWidth="1"/>
    <col min="4" max="4" width="10.7109375" style="4" customWidth="1"/>
    <col min="5" max="5" width="10.7109375" style="21" customWidth="1"/>
    <col min="6" max="6" width="10.7109375" style="4" customWidth="1"/>
    <col min="7" max="8" width="12.7109375" style="35" customWidth="1"/>
    <col min="9" max="16384" width="10.7109375" style="4"/>
  </cols>
  <sheetData>
    <row r="1" spans="1:8">
      <c r="A1" s="6" t="s">
        <v>2224</v>
      </c>
      <c r="B1" s="2"/>
      <c r="C1" s="2"/>
      <c r="D1" s="2"/>
      <c r="E1" s="20"/>
      <c r="F1" s="2"/>
      <c r="G1" s="32"/>
      <c r="H1" s="32"/>
    </row>
    <row r="2" spans="1:8" s="2" customFormat="1">
      <c r="A2" s="6" t="s">
        <v>2225</v>
      </c>
      <c r="E2" s="7" t="s">
        <v>1496</v>
      </c>
      <c r="G2" s="32"/>
      <c r="H2" s="32"/>
    </row>
    <row r="3" spans="1:8" s="2" customFormat="1">
      <c r="A3" s="16"/>
      <c r="E3" s="7"/>
      <c r="G3" s="32"/>
      <c r="H3" s="32"/>
    </row>
    <row r="4" spans="1:8" s="2" customFormat="1">
      <c r="A4" s="6" t="s">
        <v>2226</v>
      </c>
      <c r="D4" s="3" t="s">
        <v>2218</v>
      </c>
      <c r="E4" s="14" t="s">
        <v>2219</v>
      </c>
      <c r="F4" s="3" t="s">
        <v>2220</v>
      </c>
      <c r="G4" s="33" t="s">
        <v>2227</v>
      </c>
      <c r="H4" s="33" t="s">
        <v>2228</v>
      </c>
    </row>
    <row r="5" spans="1:8" s="2" customFormat="1">
      <c r="A5" s="6" t="s">
        <v>2229</v>
      </c>
      <c r="B5" s="7" t="s">
        <v>2230</v>
      </c>
      <c r="C5" s="7" t="s">
        <v>2231</v>
      </c>
      <c r="E5" s="20"/>
      <c r="G5" s="33" t="s">
        <v>2232</v>
      </c>
      <c r="H5" s="33" t="s">
        <v>2232</v>
      </c>
    </row>
    <row r="6" spans="1:8" s="2" customFormat="1">
      <c r="A6" s="5"/>
      <c r="E6" s="20"/>
      <c r="G6" s="32"/>
      <c r="H6" s="32"/>
    </row>
    <row r="7" spans="1:8" s="2" customFormat="1">
      <c r="A7" s="6" t="s">
        <v>2221</v>
      </c>
      <c r="B7" s="9" t="s">
        <v>2619</v>
      </c>
      <c r="E7" s="20"/>
      <c r="G7" s="32"/>
      <c r="H7" s="32"/>
    </row>
    <row r="8" spans="1:8" s="2" customFormat="1">
      <c r="A8" s="5"/>
      <c r="E8" s="20"/>
      <c r="G8" s="32"/>
      <c r="H8" s="32"/>
    </row>
    <row r="9" spans="1:8" s="2" customFormat="1">
      <c r="A9" s="5"/>
      <c r="C9" s="9" t="s">
        <v>2620</v>
      </c>
      <c r="D9" s="2">
        <v>110000</v>
      </c>
      <c r="E9" s="20" t="s">
        <v>2221</v>
      </c>
      <c r="F9" s="19">
        <v>690000</v>
      </c>
      <c r="G9" s="32">
        <v>125000</v>
      </c>
      <c r="H9" s="32">
        <v>125000</v>
      </c>
    </row>
    <row r="10" spans="1:8" s="2" customFormat="1">
      <c r="A10" s="5"/>
      <c r="C10" s="9" t="s">
        <v>67</v>
      </c>
      <c r="D10" s="2">
        <v>110000</v>
      </c>
      <c r="E10" s="20" t="s">
        <v>2221</v>
      </c>
      <c r="F10" s="19">
        <v>710000</v>
      </c>
      <c r="G10" s="32">
        <v>100000</v>
      </c>
      <c r="H10" s="32">
        <v>100000</v>
      </c>
    </row>
    <row r="11" spans="1:8" s="2" customFormat="1">
      <c r="A11" s="5"/>
      <c r="C11" s="9" t="s">
        <v>68</v>
      </c>
      <c r="D11" s="2">
        <v>110000</v>
      </c>
      <c r="E11" s="20" t="s">
        <v>2221</v>
      </c>
      <c r="F11" s="19">
        <v>710000</v>
      </c>
      <c r="G11" s="32">
        <v>85000</v>
      </c>
      <c r="H11" s="32">
        <v>85000</v>
      </c>
    </row>
    <row r="12" spans="1:8" s="2" customFormat="1">
      <c r="A12" s="5"/>
      <c r="C12" s="9" t="s">
        <v>69</v>
      </c>
      <c r="D12" s="2">
        <v>110000</v>
      </c>
      <c r="E12" s="20" t="s">
        <v>2222</v>
      </c>
      <c r="F12" s="19">
        <v>710000</v>
      </c>
      <c r="G12" s="32">
        <v>80000</v>
      </c>
      <c r="H12" s="32">
        <v>80000</v>
      </c>
    </row>
    <row r="13" spans="1:8" s="2" customFormat="1">
      <c r="A13" s="5"/>
      <c r="C13" s="9" t="s">
        <v>70</v>
      </c>
      <c r="D13" s="2">
        <v>110000</v>
      </c>
      <c r="E13" s="20" t="s">
        <v>2223</v>
      </c>
      <c r="F13" s="2">
        <v>710000</v>
      </c>
      <c r="G13" s="32">
        <v>60000</v>
      </c>
      <c r="H13" s="32">
        <v>60000</v>
      </c>
    </row>
    <row r="14" spans="1:8" s="2" customFormat="1">
      <c r="A14" s="5"/>
      <c r="C14" s="9" t="s">
        <v>71</v>
      </c>
      <c r="D14" s="2">
        <v>110000</v>
      </c>
      <c r="E14" s="20" t="s">
        <v>2221</v>
      </c>
      <c r="F14" s="2">
        <v>710000</v>
      </c>
      <c r="G14" s="32">
        <v>20000</v>
      </c>
      <c r="H14" s="32">
        <v>20000</v>
      </c>
    </row>
    <row r="15" spans="1:8" s="2" customFormat="1">
      <c r="A15" s="5"/>
      <c r="C15" s="9" t="s">
        <v>72</v>
      </c>
      <c r="D15" s="2">
        <v>110000</v>
      </c>
      <c r="E15" s="20" t="s">
        <v>2221</v>
      </c>
      <c r="F15" s="19">
        <v>710000</v>
      </c>
      <c r="G15" s="32">
        <v>50000</v>
      </c>
      <c r="H15" s="32">
        <v>50000</v>
      </c>
    </row>
    <row r="16" spans="1:8" s="2" customFormat="1">
      <c r="A16" s="5"/>
      <c r="C16" s="9" t="s">
        <v>2124</v>
      </c>
      <c r="D16" s="2">
        <v>110000</v>
      </c>
      <c r="E16" s="20" t="s">
        <v>462</v>
      </c>
      <c r="F16" s="2">
        <v>710000</v>
      </c>
      <c r="G16" s="32">
        <v>30000</v>
      </c>
      <c r="H16" s="32">
        <v>30000</v>
      </c>
    </row>
    <row r="17" spans="1:8" s="2" customFormat="1">
      <c r="A17" s="5"/>
      <c r="C17" s="9" t="s">
        <v>2125</v>
      </c>
      <c r="D17" s="2">
        <v>110000</v>
      </c>
      <c r="E17" s="20" t="s">
        <v>463</v>
      </c>
      <c r="F17" s="2">
        <v>710000</v>
      </c>
      <c r="G17" s="32">
        <v>135100</v>
      </c>
      <c r="H17" s="32">
        <v>135100</v>
      </c>
    </row>
    <row r="18" spans="1:8" s="2" customFormat="1">
      <c r="A18" s="5"/>
      <c r="C18" s="9" t="s">
        <v>2126</v>
      </c>
      <c r="D18" s="2">
        <v>110000</v>
      </c>
      <c r="E18" s="20" t="s">
        <v>2222</v>
      </c>
      <c r="F18" s="19">
        <v>710000</v>
      </c>
      <c r="G18" s="32">
        <v>55163</v>
      </c>
      <c r="H18" s="32">
        <v>55163</v>
      </c>
    </row>
    <row r="19" spans="1:8" s="2" customFormat="1">
      <c r="A19" s="5"/>
      <c r="C19" s="9" t="s">
        <v>2127</v>
      </c>
      <c r="D19" s="2">
        <v>110000</v>
      </c>
      <c r="E19" s="20" t="s">
        <v>2221</v>
      </c>
      <c r="F19" s="19">
        <v>710000</v>
      </c>
      <c r="G19" s="32">
        <v>38000</v>
      </c>
      <c r="H19" s="32">
        <v>38000</v>
      </c>
    </row>
    <row r="20" spans="1:8" s="2" customFormat="1">
      <c r="A20" s="5"/>
      <c r="C20" s="9" t="s">
        <v>2128</v>
      </c>
      <c r="D20" s="2">
        <v>110000</v>
      </c>
      <c r="E20" s="20" t="s">
        <v>464</v>
      </c>
      <c r="F20" s="2">
        <v>710000</v>
      </c>
      <c r="G20" s="32">
        <v>51500</v>
      </c>
      <c r="H20" s="32">
        <v>51500</v>
      </c>
    </row>
    <row r="21" spans="1:8" s="2" customFormat="1">
      <c r="A21" s="5"/>
      <c r="C21" s="9" t="s">
        <v>2129</v>
      </c>
      <c r="D21" s="2">
        <v>110000</v>
      </c>
      <c r="E21" s="20" t="s">
        <v>465</v>
      </c>
      <c r="F21" s="2">
        <v>710000</v>
      </c>
      <c r="G21" s="32">
        <v>3360</v>
      </c>
      <c r="H21" s="32">
        <v>3360</v>
      </c>
    </row>
    <row r="22" spans="1:8" s="2" customFormat="1">
      <c r="A22" s="5"/>
      <c r="C22" s="9" t="s">
        <v>2130</v>
      </c>
      <c r="D22" s="2">
        <v>110000</v>
      </c>
      <c r="E22" s="20" t="s">
        <v>2221</v>
      </c>
      <c r="F22" s="19">
        <v>562500</v>
      </c>
      <c r="G22" s="32">
        <v>-970530</v>
      </c>
      <c r="H22" s="32">
        <v>-970530</v>
      </c>
    </row>
    <row r="23" spans="1:8" s="2" customFormat="1">
      <c r="A23" s="5"/>
      <c r="C23" s="9" t="s">
        <v>2131</v>
      </c>
      <c r="D23" s="2">
        <v>110000</v>
      </c>
      <c r="E23" s="20" t="s">
        <v>2221</v>
      </c>
      <c r="F23" s="19">
        <v>799999</v>
      </c>
      <c r="G23" s="32">
        <f>165945-13605+4440-5240+1726+8910+100000-8463-1-7200-218-416+3998-1</f>
        <v>249875</v>
      </c>
      <c r="H23" s="32">
        <f>165945-13605+4440-5240+1726+8910+100000-8463-1-7200-218-416+3998-1</f>
        <v>249875</v>
      </c>
    </row>
    <row r="24" spans="1:8" s="2" customFormat="1">
      <c r="A24" s="5"/>
      <c r="C24" s="9" t="s">
        <v>2132</v>
      </c>
      <c r="D24" s="2">
        <v>110000</v>
      </c>
      <c r="E24" s="20" t="s">
        <v>466</v>
      </c>
      <c r="F24" s="2">
        <v>630000</v>
      </c>
      <c r="G24" s="32">
        <v>25000</v>
      </c>
      <c r="H24" s="32">
        <v>25000</v>
      </c>
    </row>
    <row r="25" spans="1:8" s="2" customFormat="1">
      <c r="A25" s="5"/>
      <c r="C25" s="9" t="s">
        <v>2133</v>
      </c>
      <c r="D25" s="2">
        <v>110000</v>
      </c>
      <c r="E25" s="20" t="s">
        <v>2221</v>
      </c>
      <c r="F25" s="2">
        <v>630000</v>
      </c>
      <c r="G25" s="32">
        <v>438498</v>
      </c>
      <c r="H25" s="32">
        <v>438498</v>
      </c>
    </row>
    <row r="26" spans="1:8" s="2" customFormat="1">
      <c r="A26" s="5"/>
      <c r="C26" s="9" t="s">
        <v>2134</v>
      </c>
      <c r="D26" s="2">
        <v>110000</v>
      </c>
      <c r="E26" s="20" t="s">
        <v>465</v>
      </c>
      <c r="F26" s="2">
        <v>630000</v>
      </c>
      <c r="G26" s="32">
        <v>7800</v>
      </c>
      <c r="H26" s="32">
        <v>7800</v>
      </c>
    </row>
    <row r="27" spans="1:8" s="2" customFormat="1">
      <c r="A27" s="5"/>
      <c r="C27" s="9" t="s">
        <v>2834</v>
      </c>
      <c r="D27" s="2">
        <v>110000</v>
      </c>
      <c r="E27" s="20" t="s">
        <v>2221</v>
      </c>
      <c r="F27" s="2">
        <v>710000</v>
      </c>
      <c r="G27" s="32">
        <v>17381</v>
      </c>
      <c r="H27" s="32">
        <v>17381</v>
      </c>
    </row>
    <row r="28" spans="1:8" s="2" customFormat="1">
      <c r="A28" s="5"/>
      <c r="C28" s="9" t="s">
        <v>2135</v>
      </c>
      <c r="D28" s="2">
        <v>110000</v>
      </c>
      <c r="E28" s="20" t="s">
        <v>466</v>
      </c>
      <c r="F28" s="2">
        <v>630000</v>
      </c>
      <c r="G28" s="32">
        <v>25000</v>
      </c>
      <c r="H28" s="32">
        <v>25000</v>
      </c>
    </row>
    <row r="29" spans="1:8" s="2" customFormat="1">
      <c r="A29" s="5"/>
      <c r="C29" s="9" t="s">
        <v>2136</v>
      </c>
      <c r="D29" s="2">
        <v>110000</v>
      </c>
      <c r="E29" s="20" t="s">
        <v>2221</v>
      </c>
      <c r="F29" s="19">
        <v>630000</v>
      </c>
      <c r="G29" s="32">
        <v>26000</v>
      </c>
      <c r="H29" s="32">
        <v>26000</v>
      </c>
    </row>
    <row r="30" spans="1:8" s="2" customFormat="1">
      <c r="A30" s="5"/>
      <c r="C30" s="9" t="s">
        <v>2137</v>
      </c>
      <c r="D30" s="2">
        <v>110000</v>
      </c>
      <c r="E30" s="20" t="s">
        <v>2221</v>
      </c>
      <c r="F30" s="19">
        <v>820000</v>
      </c>
      <c r="G30" s="32">
        <v>60000</v>
      </c>
      <c r="H30" s="32">
        <v>60000</v>
      </c>
    </row>
    <row r="31" spans="1:8" s="2" customFormat="1">
      <c r="A31" s="5"/>
      <c r="C31" s="9" t="s">
        <v>2138</v>
      </c>
      <c r="D31" s="2">
        <v>110000</v>
      </c>
      <c r="E31" s="20" t="s">
        <v>467</v>
      </c>
      <c r="F31" s="19">
        <v>630000</v>
      </c>
      <c r="G31" s="32">
        <v>12000</v>
      </c>
      <c r="H31" s="32">
        <v>12000</v>
      </c>
    </row>
    <row r="32" spans="1:8" s="2" customFormat="1">
      <c r="A32" s="5"/>
      <c r="C32" s="9" t="s">
        <v>2139</v>
      </c>
      <c r="D32" s="2">
        <v>110000</v>
      </c>
      <c r="E32" s="20" t="s">
        <v>2221</v>
      </c>
      <c r="F32" s="19">
        <v>710000</v>
      </c>
      <c r="G32" s="32">
        <v>22000</v>
      </c>
      <c r="H32" s="32">
        <v>22000</v>
      </c>
    </row>
    <row r="33" spans="1:8" s="2" customFormat="1">
      <c r="A33" s="5"/>
      <c r="C33" s="9" t="s">
        <v>2140</v>
      </c>
      <c r="D33" s="2">
        <v>110000</v>
      </c>
      <c r="E33" s="20" t="s">
        <v>2221</v>
      </c>
      <c r="F33" s="19">
        <v>710000</v>
      </c>
      <c r="G33" s="32">
        <v>15000</v>
      </c>
      <c r="H33" s="32">
        <v>15000</v>
      </c>
    </row>
    <row r="34" spans="1:8" s="2" customFormat="1">
      <c r="A34" s="5"/>
      <c r="C34" s="12" t="s">
        <v>2235</v>
      </c>
      <c r="E34" s="20"/>
      <c r="G34" s="32">
        <f>SUM(G9:G33)</f>
        <v>761147</v>
      </c>
      <c r="H34" s="32">
        <f>SUM(H9:H33)</f>
        <v>761147</v>
      </c>
    </row>
    <row r="35" spans="1:8" s="2" customFormat="1">
      <c r="A35" s="5"/>
      <c r="C35" s="12"/>
      <c r="E35" s="20"/>
      <c r="G35" s="32"/>
      <c r="H35" s="32"/>
    </row>
    <row r="36" spans="1:8" s="2" customFormat="1">
      <c r="A36" s="6" t="s">
        <v>2221</v>
      </c>
      <c r="B36" s="2" t="s">
        <v>2086</v>
      </c>
      <c r="D36" s="26"/>
      <c r="G36" s="32"/>
      <c r="H36" s="32"/>
    </row>
    <row r="37" spans="1:8" s="2" customFormat="1">
      <c r="A37" s="15"/>
      <c r="D37" s="26"/>
      <c r="G37" s="32"/>
      <c r="H37" s="32"/>
    </row>
    <row r="38" spans="1:8" s="2" customFormat="1">
      <c r="A38" s="15"/>
      <c r="C38" s="2" t="s">
        <v>2087</v>
      </c>
      <c r="D38" s="26">
        <v>110000</v>
      </c>
      <c r="E38" s="24" t="s">
        <v>2221</v>
      </c>
      <c r="F38" s="2">
        <v>710000</v>
      </c>
      <c r="G38" s="32">
        <v>509600</v>
      </c>
      <c r="H38" s="32">
        <v>509600</v>
      </c>
    </row>
    <row r="39" spans="1:8" s="2" customFormat="1">
      <c r="A39" s="15"/>
      <c r="C39" s="8" t="s">
        <v>2235</v>
      </c>
      <c r="D39" s="26"/>
      <c r="G39" s="32">
        <f>G38</f>
        <v>509600</v>
      </c>
      <c r="H39" s="32">
        <f>H38</f>
        <v>509600</v>
      </c>
    </row>
    <row r="40" spans="1:8" s="2" customFormat="1">
      <c r="A40" s="15"/>
      <c r="D40" s="26"/>
      <c r="G40" s="32"/>
      <c r="H40" s="32"/>
    </row>
    <row r="41" spans="1:8" s="2" customFormat="1">
      <c r="A41" s="6" t="s">
        <v>2221</v>
      </c>
      <c r="B41" s="2" t="s">
        <v>2088</v>
      </c>
      <c r="D41" s="26"/>
      <c r="G41" s="32"/>
      <c r="H41" s="32"/>
    </row>
    <row r="42" spans="1:8" s="2" customFormat="1">
      <c r="A42" s="6"/>
      <c r="D42" s="26"/>
      <c r="G42" s="32"/>
      <c r="H42" s="32"/>
    </row>
    <row r="43" spans="1:8" s="2" customFormat="1">
      <c r="A43" s="6"/>
      <c r="C43" s="2" t="s">
        <v>3215</v>
      </c>
      <c r="D43" s="26">
        <v>110000</v>
      </c>
      <c r="E43" s="24" t="s">
        <v>2221</v>
      </c>
      <c r="F43" s="2">
        <v>820000</v>
      </c>
      <c r="G43" s="32">
        <v>2332909</v>
      </c>
      <c r="H43" s="32">
        <v>2332909</v>
      </c>
    </row>
    <row r="44" spans="1:8" s="2" customFormat="1">
      <c r="A44" s="6"/>
      <c r="C44" s="8" t="s">
        <v>2235</v>
      </c>
      <c r="D44" s="26"/>
      <c r="G44" s="32">
        <f>G43</f>
        <v>2332909</v>
      </c>
      <c r="H44" s="32">
        <f>H43</f>
        <v>2332909</v>
      </c>
    </row>
    <row r="45" spans="1:8" s="2" customFormat="1">
      <c r="A45" s="6"/>
      <c r="D45" s="26"/>
      <c r="G45" s="32"/>
      <c r="H45" s="32"/>
    </row>
    <row r="46" spans="1:8" s="2" customFormat="1">
      <c r="A46" s="6" t="s">
        <v>2221</v>
      </c>
      <c r="B46" s="2" t="s">
        <v>2056</v>
      </c>
      <c r="D46" s="26"/>
      <c r="G46" s="32"/>
      <c r="H46" s="32"/>
    </row>
    <row r="47" spans="1:8" s="2" customFormat="1">
      <c r="A47" s="6"/>
      <c r="D47" s="26"/>
      <c r="G47" s="32"/>
      <c r="H47" s="32"/>
    </row>
    <row r="48" spans="1:8" s="2" customFormat="1">
      <c r="A48" s="20"/>
      <c r="C48" s="2" t="s">
        <v>2234</v>
      </c>
      <c r="D48" s="26">
        <v>110000</v>
      </c>
      <c r="E48" s="24" t="s">
        <v>2221</v>
      </c>
      <c r="F48" s="2">
        <v>820000</v>
      </c>
      <c r="G48" s="32">
        <f>170929-42732</f>
        <v>128197</v>
      </c>
      <c r="H48" s="32">
        <f>170929-42732</f>
        <v>128197</v>
      </c>
    </row>
    <row r="49" spans="1:8" s="2" customFormat="1">
      <c r="A49" s="20"/>
      <c r="C49" s="8" t="s">
        <v>2235</v>
      </c>
      <c r="D49" s="26"/>
      <c r="G49" s="32">
        <f>G48</f>
        <v>128197</v>
      </c>
      <c r="H49" s="32">
        <f>H48</f>
        <v>128197</v>
      </c>
    </row>
    <row r="50" spans="1:8" s="2" customFormat="1">
      <c r="A50" s="20"/>
      <c r="D50" s="26"/>
      <c r="G50" s="32"/>
      <c r="H50" s="32"/>
    </row>
    <row r="51" spans="1:8" s="2" customFormat="1">
      <c r="A51" s="6" t="s">
        <v>2221</v>
      </c>
      <c r="B51" s="2" t="s">
        <v>2059</v>
      </c>
      <c r="D51" s="26"/>
      <c r="G51" s="32"/>
      <c r="H51" s="32"/>
    </row>
    <row r="52" spans="1:8" s="2" customFormat="1">
      <c r="A52" s="6"/>
      <c r="D52" s="26"/>
      <c r="G52" s="32"/>
      <c r="H52" s="32"/>
    </row>
    <row r="53" spans="1:8" s="2" customFormat="1">
      <c r="A53" s="6"/>
      <c r="C53" s="2" t="s">
        <v>2234</v>
      </c>
      <c r="D53" s="26">
        <v>110000</v>
      </c>
      <c r="E53" s="24" t="s">
        <v>2221</v>
      </c>
      <c r="F53" s="2">
        <v>820000</v>
      </c>
      <c r="G53" s="32">
        <v>277988</v>
      </c>
      <c r="H53" s="32">
        <v>277988</v>
      </c>
    </row>
    <row r="54" spans="1:8" s="2" customFormat="1">
      <c r="A54" s="6"/>
      <c r="C54" s="8" t="s">
        <v>2235</v>
      </c>
      <c r="D54" s="26"/>
      <c r="G54" s="32">
        <f>G53</f>
        <v>277988</v>
      </c>
      <c r="H54" s="32">
        <f>H53</f>
        <v>277988</v>
      </c>
    </row>
    <row r="55" spans="1:8" s="2" customFormat="1">
      <c r="A55" s="6"/>
      <c r="D55" s="26"/>
      <c r="G55" s="32"/>
      <c r="H55" s="32"/>
    </row>
    <row r="56" spans="1:8" s="2" customFormat="1">
      <c r="A56" s="6" t="s">
        <v>2221</v>
      </c>
      <c r="B56" s="2" t="s">
        <v>2060</v>
      </c>
      <c r="D56" s="26"/>
      <c r="G56" s="32"/>
      <c r="H56" s="32"/>
    </row>
    <row r="57" spans="1:8" s="2" customFormat="1">
      <c r="A57" s="6"/>
      <c r="D57" s="26"/>
      <c r="G57" s="32"/>
      <c r="H57" s="32"/>
    </row>
    <row r="58" spans="1:8" s="2" customFormat="1">
      <c r="A58" s="6"/>
      <c r="C58" s="2" t="s">
        <v>2061</v>
      </c>
      <c r="D58" s="26">
        <v>110000</v>
      </c>
      <c r="E58" s="24" t="s">
        <v>2221</v>
      </c>
      <c r="F58" s="2">
        <v>820000</v>
      </c>
      <c r="G58" s="32">
        <v>380253</v>
      </c>
      <c r="H58" s="32">
        <v>380253</v>
      </c>
    </row>
    <row r="59" spans="1:8" s="2" customFormat="1">
      <c r="A59" s="6"/>
      <c r="C59" s="8" t="s">
        <v>2235</v>
      </c>
      <c r="D59" s="26"/>
      <c r="G59" s="32">
        <f>G58</f>
        <v>380253</v>
      </c>
      <c r="H59" s="32">
        <f>H58</f>
        <v>380253</v>
      </c>
    </row>
    <row r="60" spans="1:8" s="2" customFormat="1">
      <c r="A60" s="6"/>
      <c r="D60" s="26"/>
      <c r="G60" s="32"/>
      <c r="H60" s="32"/>
    </row>
    <row r="61" spans="1:8" s="2" customFormat="1">
      <c r="A61" s="31" t="s">
        <v>2221</v>
      </c>
      <c r="B61" s="2" t="s">
        <v>1467</v>
      </c>
      <c r="D61" s="26"/>
      <c r="G61" s="32"/>
      <c r="H61" s="32"/>
    </row>
    <row r="62" spans="1:8" s="2" customFormat="1">
      <c r="A62" s="20"/>
      <c r="D62" s="26"/>
      <c r="G62" s="32"/>
      <c r="H62" s="32"/>
    </row>
    <row r="63" spans="1:8" s="19" customFormat="1">
      <c r="A63" s="17"/>
      <c r="C63" s="19" t="s">
        <v>2452</v>
      </c>
      <c r="D63" s="28">
        <v>110000</v>
      </c>
      <c r="E63" s="30" t="s">
        <v>2221</v>
      </c>
      <c r="F63" s="19">
        <v>820000</v>
      </c>
      <c r="G63" s="34">
        <v>880000</v>
      </c>
      <c r="H63" s="34">
        <v>880000</v>
      </c>
    </row>
    <row r="64" spans="1:8" s="2" customFormat="1">
      <c r="A64" s="6"/>
      <c r="C64" s="8" t="s">
        <v>2235</v>
      </c>
      <c r="D64" s="26"/>
      <c r="G64" s="32">
        <f>G63</f>
        <v>880000</v>
      </c>
      <c r="H64" s="32">
        <f>H63</f>
        <v>880000</v>
      </c>
    </row>
    <row r="65" spans="1:8" s="2" customFormat="1">
      <c r="A65" s="6"/>
      <c r="D65" s="26"/>
      <c r="G65" s="32"/>
      <c r="H65" s="32"/>
    </row>
    <row r="66" spans="1:8" s="2" customFormat="1">
      <c r="A66" s="6" t="s">
        <v>3041</v>
      </c>
      <c r="B66" s="9" t="s">
        <v>2243</v>
      </c>
      <c r="E66" s="20"/>
      <c r="G66" s="32"/>
      <c r="H66" s="32"/>
    </row>
    <row r="67" spans="1:8" s="2" customFormat="1">
      <c r="A67" s="5"/>
      <c r="B67" s="9"/>
      <c r="E67" s="20"/>
      <c r="G67" s="32"/>
      <c r="H67" s="32"/>
    </row>
    <row r="68" spans="1:8" s="2" customFormat="1">
      <c r="A68" s="10" t="s">
        <v>811</v>
      </c>
      <c r="B68" s="11" t="s">
        <v>2244</v>
      </c>
      <c r="C68" s="11" t="s">
        <v>2818</v>
      </c>
      <c r="D68" s="4">
        <v>110000</v>
      </c>
      <c r="E68" s="21">
        <v>100000</v>
      </c>
      <c r="F68" s="4">
        <v>610210</v>
      </c>
      <c r="G68" s="35">
        <f>144000+6000</f>
        <v>150000</v>
      </c>
      <c r="H68" s="35">
        <f>144000+6000</f>
        <v>150000</v>
      </c>
    </row>
    <row r="69" spans="1:8" s="2" customFormat="1">
      <c r="A69" s="10"/>
      <c r="B69" s="11"/>
      <c r="C69" s="11"/>
      <c r="D69" s="4"/>
      <c r="E69" s="21"/>
      <c r="F69" s="4"/>
      <c r="G69" s="35">
        <v>20000</v>
      </c>
      <c r="H69" s="35"/>
    </row>
    <row r="70" spans="1:8" s="2" customFormat="1">
      <c r="A70" s="10"/>
      <c r="B70" s="11"/>
      <c r="C70" s="11"/>
      <c r="D70" s="4"/>
      <c r="E70" s="2" t="s">
        <v>2880</v>
      </c>
      <c r="F70" s="4"/>
      <c r="G70" s="32">
        <f>G68+G69</f>
        <v>170000</v>
      </c>
      <c r="H70" s="32">
        <f>H68+H69</f>
        <v>150000</v>
      </c>
    </row>
    <row r="71" spans="1:8" s="2" customFormat="1">
      <c r="A71" s="5" t="s">
        <v>812</v>
      </c>
      <c r="B71" s="9" t="s">
        <v>1582</v>
      </c>
      <c r="C71" s="9" t="s">
        <v>1612</v>
      </c>
      <c r="D71" s="2">
        <v>110000</v>
      </c>
      <c r="E71" s="20">
        <v>100000</v>
      </c>
      <c r="F71" s="2">
        <v>610210</v>
      </c>
      <c r="G71" s="32">
        <f>39000+1175</f>
        <v>40175</v>
      </c>
      <c r="H71" s="32">
        <f>39000+1175</f>
        <v>40175</v>
      </c>
    </row>
    <row r="72" spans="1:8" s="2" customFormat="1">
      <c r="A72" s="5"/>
      <c r="B72" s="9"/>
      <c r="C72" s="9"/>
      <c r="D72" s="2">
        <v>110000</v>
      </c>
      <c r="E72" s="20" t="s">
        <v>2643</v>
      </c>
      <c r="F72" s="2">
        <v>610210</v>
      </c>
      <c r="G72" s="32">
        <f>39000+1175</f>
        <v>40175</v>
      </c>
      <c r="H72" s="32">
        <v>0</v>
      </c>
    </row>
    <row r="73" spans="1:8" s="2" customFormat="1">
      <c r="A73" s="5"/>
      <c r="B73" s="9"/>
      <c r="C73" s="9"/>
      <c r="E73" s="2" t="s">
        <v>2880</v>
      </c>
      <c r="G73" s="32">
        <f>G71+G72</f>
        <v>80350</v>
      </c>
      <c r="H73" s="32">
        <f>H71+H72</f>
        <v>40175</v>
      </c>
    </row>
    <row r="74" spans="1:8" s="2" customFormat="1">
      <c r="A74" s="5" t="s">
        <v>813</v>
      </c>
      <c r="B74" s="9" t="s">
        <v>2250</v>
      </c>
      <c r="C74" s="9" t="s">
        <v>1608</v>
      </c>
      <c r="D74" s="2">
        <v>110000</v>
      </c>
      <c r="E74" s="20">
        <v>100000</v>
      </c>
      <c r="F74" s="2">
        <v>610210</v>
      </c>
      <c r="G74" s="32">
        <f>25600+900</f>
        <v>26500</v>
      </c>
      <c r="H74" s="32">
        <f>25600+900</f>
        <v>26500</v>
      </c>
    </row>
    <row r="75" spans="1:8" s="2" customFormat="1">
      <c r="A75" s="5" t="s">
        <v>814</v>
      </c>
      <c r="B75" s="9" t="s">
        <v>1526</v>
      </c>
      <c r="C75" s="9" t="s">
        <v>1613</v>
      </c>
      <c r="D75" s="2">
        <v>110000</v>
      </c>
      <c r="E75" s="20">
        <v>100000</v>
      </c>
      <c r="F75" s="2">
        <v>610410</v>
      </c>
      <c r="G75" s="32">
        <f>17694+495</f>
        <v>18189</v>
      </c>
      <c r="H75" s="32">
        <f>17694+495</f>
        <v>18189</v>
      </c>
    </row>
    <row r="76" spans="1:8" s="2" customFormat="1">
      <c r="A76" s="5"/>
      <c r="C76" s="9" t="s">
        <v>1611</v>
      </c>
      <c r="D76" s="2">
        <v>110000</v>
      </c>
      <c r="E76" s="20">
        <v>100000</v>
      </c>
      <c r="F76" s="2">
        <v>620000</v>
      </c>
      <c r="G76" s="32">
        <f>7000+3000</f>
        <v>10000</v>
      </c>
      <c r="H76" s="32">
        <f>G76</f>
        <v>10000</v>
      </c>
    </row>
    <row r="77" spans="1:8" s="2" customFormat="1">
      <c r="A77" s="5"/>
      <c r="C77" s="9" t="s">
        <v>2950</v>
      </c>
      <c r="D77" s="2">
        <v>110000</v>
      </c>
      <c r="E77" s="20">
        <v>100000</v>
      </c>
      <c r="F77" s="2">
        <v>610000</v>
      </c>
      <c r="G77" s="36"/>
      <c r="H77" s="36"/>
    </row>
    <row r="78" spans="1:8" s="2" customFormat="1">
      <c r="A78" s="5"/>
      <c r="C78" s="9" t="s">
        <v>2951</v>
      </c>
      <c r="D78" s="2">
        <v>110000</v>
      </c>
      <c r="E78" s="20">
        <v>100000</v>
      </c>
      <c r="F78" s="2">
        <v>630000</v>
      </c>
      <c r="G78" s="32">
        <f>(SUM(G68:G77)-G73-G70)*0.2-786-580</f>
        <v>59641.8</v>
      </c>
      <c r="H78" s="32">
        <f>(SUM(H68:H77)-H73-H70)*0.2-786-580</f>
        <v>47606.8</v>
      </c>
    </row>
    <row r="79" spans="1:8" s="2" customFormat="1">
      <c r="A79" s="5"/>
      <c r="B79" s="9"/>
      <c r="C79" s="12" t="s">
        <v>1129</v>
      </c>
      <c r="E79" s="20"/>
      <c r="G79" s="32">
        <f>SUM(G68:G78)-G73-G70</f>
        <v>364680.80000000005</v>
      </c>
      <c r="H79" s="32">
        <f>SUM(H68:H78)-H73-H70</f>
        <v>292470.8</v>
      </c>
    </row>
    <row r="80" spans="1:8" s="2" customFormat="1">
      <c r="A80" s="5"/>
      <c r="C80" s="9" t="s">
        <v>2234</v>
      </c>
      <c r="D80" s="2">
        <v>110000</v>
      </c>
      <c r="E80" s="20">
        <v>100000</v>
      </c>
      <c r="F80" s="2">
        <v>710000</v>
      </c>
      <c r="G80" s="32">
        <v>62519</v>
      </c>
      <c r="H80" s="32">
        <f>G80</f>
        <v>62519</v>
      </c>
    </row>
    <row r="81" spans="1:8" s="2" customFormat="1">
      <c r="A81" s="5"/>
      <c r="C81" s="12" t="s">
        <v>2235</v>
      </c>
      <c r="E81" s="20"/>
      <c r="G81" s="32">
        <f>G79+G80</f>
        <v>427199.80000000005</v>
      </c>
      <c r="H81" s="32">
        <f>H79+H80</f>
        <v>354989.8</v>
      </c>
    </row>
    <row r="82" spans="1:8" s="2" customFormat="1">
      <c r="A82" s="5"/>
      <c r="B82" s="9"/>
      <c r="E82" s="20"/>
      <c r="G82" s="32"/>
      <c r="H82" s="32"/>
    </row>
    <row r="83" spans="1:8" s="2" customFormat="1">
      <c r="A83" s="5" t="s">
        <v>3041</v>
      </c>
      <c r="B83" s="2" t="s">
        <v>2955</v>
      </c>
      <c r="C83" s="12"/>
      <c r="E83" s="20"/>
      <c r="G83" s="32"/>
      <c r="H83" s="32"/>
    </row>
    <row r="84" spans="1:8" s="2" customFormat="1">
      <c r="A84" s="5"/>
      <c r="C84" s="12"/>
      <c r="E84" s="20"/>
      <c r="G84" s="32"/>
      <c r="H84" s="32"/>
    </row>
    <row r="85" spans="1:8" s="2" customFormat="1">
      <c r="A85" s="5" t="s">
        <v>1071</v>
      </c>
      <c r="B85" s="9" t="s">
        <v>2496</v>
      </c>
      <c r="C85" s="9" t="s">
        <v>1609</v>
      </c>
      <c r="D85" s="2">
        <v>110000</v>
      </c>
      <c r="E85" s="20" t="s">
        <v>3041</v>
      </c>
      <c r="F85" s="2">
        <v>610410</v>
      </c>
      <c r="G85" s="32">
        <f>15595+437</f>
        <v>16032</v>
      </c>
      <c r="H85" s="32">
        <f>15595+437</f>
        <v>16032</v>
      </c>
    </row>
    <row r="86" spans="1:8" s="2" customFormat="1">
      <c r="A86" s="5"/>
      <c r="C86" s="9" t="s">
        <v>2951</v>
      </c>
      <c r="D86" s="2">
        <v>110000</v>
      </c>
      <c r="E86" s="20" t="s">
        <v>3041</v>
      </c>
      <c r="F86" s="2">
        <v>630000</v>
      </c>
      <c r="G86" s="32">
        <f>G85*0.2</f>
        <v>3206.4</v>
      </c>
      <c r="H86" s="32">
        <f>H85*0.2</f>
        <v>3206.4</v>
      </c>
    </row>
    <row r="87" spans="1:8" s="2" customFormat="1">
      <c r="A87" s="5"/>
      <c r="C87" s="12" t="s">
        <v>1129</v>
      </c>
      <c r="E87" s="20"/>
      <c r="G87" s="32">
        <f>G85+G86</f>
        <v>19238.400000000001</v>
      </c>
      <c r="H87" s="32">
        <f>H85+H86</f>
        <v>19238.400000000001</v>
      </c>
    </row>
    <row r="88" spans="1:8" s="2" customFormat="1">
      <c r="A88" s="5"/>
      <c r="C88" s="12"/>
      <c r="E88" s="20"/>
      <c r="G88" s="32"/>
      <c r="H88" s="32"/>
    </row>
    <row r="89" spans="1:8" s="2" customFormat="1">
      <c r="A89" s="6" t="s">
        <v>3041</v>
      </c>
      <c r="B89" s="2" t="s">
        <v>2058</v>
      </c>
      <c r="D89" s="26"/>
      <c r="G89" s="32"/>
      <c r="H89" s="32"/>
    </row>
    <row r="90" spans="1:8" s="2" customFormat="1">
      <c r="A90" s="6"/>
      <c r="D90" s="26"/>
      <c r="G90" s="32"/>
      <c r="H90" s="32"/>
    </row>
    <row r="91" spans="1:8" s="2" customFormat="1">
      <c r="A91" s="6"/>
      <c r="C91" s="2" t="s">
        <v>2950</v>
      </c>
      <c r="D91" s="26">
        <v>110000</v>
      </c>
      <c r="E91" s="2">
        <v>100000</v>
      </c>
      <c r="F91" s="19">
        <v>799999</v>
      </c>
      <c r="G91" s="32">
        <f>500000-100000+128000</f>
        <v>528000</v>
      </c>
      <c r="H91" s="32">
        <f>500000-100000+128000</f>
        <v>528000</v>
      </c>
    </row>
    <row r="92" spans="1:8" s="2" customFormat="1">
      <c r="A92" s="6"/>
      <c r="C92" s="8" t="s">
        <v>2235</v>
      </c>
      <c r="D92" s="26"/>
      <c r="G92" s="32">
        <f>G91</f>
        <v>528000</v>
      </c>
      <c r="H92" s="32">
        <f>H91</f>
        <v>528000</v>
      </c>
    </row>
    <row r="93" spans="1:8" s="2" customFormat="1">
      <c r="A93" s="6"/>
      <c r="D93" s="26"/>
      <c r="G93" s="32"/>
      <c r="H93" s="32"/>
    </row>
    <row r="94" spans="1:8" s="2" customFormat="1">
      <c r="A94" s="6" t="s">
        <v>3041</v>
      </c>
      <c r="B94" s="2" t="s">
        <v>2456</v>
      </c>
      <c r="C94" s="8"/>
      <c r="D94" s="26"/>
      <c r="G94" s="32"/>
      <c r="H94" s="32"/>
    </row>
    <row r="95" spans="1:8" s="2" customFormat="1">
      <c r="A95" s="6"/>
      <c r="C95" s="8"/>
      <c r="D95" s="26"/>
      <c r="G95" s="32"/>
      <c r="H95" s="32"/>
    </row>
    <row r="96" spans="1:8" s="2" customFormat="1">
      <c r="A96" s="6"/>
      <c r="C96" s="15" t="s">
        <v>1180</v>
      </c>
      <c r="D96" s="26">
        <v>110000</v>
      </c>
      <c r="E96" s="2">
        <v>100000</v>
      </c>
      <c r="F96" s="2">
        <v>799999</v>
      </c>
      <c r="G96" s="32">
        <v>208779</v>
      </c>
      <c r="H96" s="32">
        <v>208779</v>
      </c>
    </row>
    <row r="97" spans="1:8" s="2" customFormat="1">
      <c r="A97" s="6"/>
      <c r="C97" s="8" t="s">
        <v>2235</v>
      </c>
      <c r="D97" s="26"/>
      <c r="G97" s="32">
        <f>G96</f>
        <v>208779</v>
      </c>
      <c r="H97" s="32">
        <f>H96</f>
        <v>208779</v>
      </c>
    </row>
    <row r="98" spans="1:8" s="2" customFormat="1">
      <c r="A98" s="6"/>
      <c r="C98" s="8"/>
      <c r="D98" s="26"/>
      <c r="G98" s="32"/>
      <c r="H98" s="32"/>
    </row>
    <row r="99" spans="1:8" s="2" customFormat="1">
      <c r="A99" s="6" t="s">
        <v>1378</v>
      </c>
      <c r="B99" s="2" t="s">
        <v>2233</v>
      </c>
      <c r="E99" s="20"/>
      <c r="G99" s="32"/>
      <c r="H99" s="32"/>
    </row>
    <row r="100" spans="1:8" s="2" customFormat="1">
      <c r="A100" s="5"/>
      <c r="C100" s="2" t="s">
        <v>2234</v>
      </c>
      <c r="D100" s="2">
        <v>110000</v>
      </c>
      <c r="E100" s="20" t="s">
        <v>1378</v>
      </c>
      <c r="F100" s="2">
        <v>710000</v>
      </c>
      <c r="G100" s="32">
        <v>6000</v>
      </c>
      <c r="H100" s="32">
        <v>6000</v>
      </c>
    </row>
    <row r="101" spans="1:8" s="2" customFormat="1">
      <c r="A101" s="5"/>
      <c r="C101" s="8" t="s">
        <v>2235</v>
      </c>
      <c r="E101" s="20"/>
      <c r="G101" s="32">
        <f>H100</f>
        <v>6000</v>
      </c>
      <c r="H101" s="32">
        <f>H100</f>
        <v>6000</v>
      </c>
    </row>
    <row r="102" spans="1:8" s="2" customFormat="1">
      <c r="A102" s="5"/>
      <c r="E102" s="20"/>
      <c r="G102" s="32"/>
      <c r="H102" s="32"/>
    </row>
    <row r="103" spans="1:8" s="2" customFormat="1">
      <c r="A103" s="15">
        <v>120000</v>
      </c>
      <c r="B103" s="2" t="s">
        <v>272</v>
      </c>
      <c r="D103" s="26"/>
      <c r="G103" s="32"/>
      <c r="H103" s="32"/>
    </row>
    <row r="104" spans="1:8" s="2" customFormat="1">
      <c r="A104" s="15"/>
      <c r="D104" s="26"/>
      <c r="G104" s="32"/>
      <c r="H104" s="32"/>
    </row>
    <row r="105" spans="1:8" s="2" customFormat="1">
      <c r="A105" s="15"/>
      <c r="C105" s="2" t="s">
        <v>2234</v>
      </c>
      <c r="D105" s="26">
        <v>110000</v>
      </c>
      <c r="E105" s="2">
        <v>120000</v>
      </c>
      <c r="F105" s="2">
        <v>710000</v>
      </c>
      <c r="G105" s="32">
        <v>20000</v>
      </c>
      <c r="H105" s="32">
        <v>20000</v>
      </c>
    </row>
    <row r="106" spans="1:8" s="2" customFormat="1">
      <c r="A106" s="15"/>
      <c r="C106" s="8" t="s">
        <v>2235</v>
      </c>
      <c r="D106" s="26"/>
      <c r="G106" s="32">
        <f>G105</f>
        <v>20000</v>
      </c>
      <c r="H106" s="32">
        <f>H105</f>
        <v>20000</v>
      </c>
    </row>
    <row r="107" spans="1:8" s="2" customFormat="1">
      <c r="A107" s="15"/>
      <c r="D107" s="26"/>
      <c r="G107" s="32"/>
      <c r="H107" s="32"/>
    </row>
    <row r="108" spans="1:8" s="2" customFormat="1">
      <c r="A108" s="6" t="s">
        <v>466</v>
      </c>
      <c r="B108" s="2" t="s">
        <v>2057</v>
      </c>
      <c r="D108" s="26"/>
      <c r="G108" s="32"/>
      <c r="H108" s="32"/>
    </row>
    <row r="109" spans="1:8" s="2" customFormat="1">
      <c r="A109" s="6"/>
      <c r="D109" s="26"/>
      <c r="G109" s="32"/>
      <c r="H109" s="32"/>
    </row>
    <row r="110" spans="1:8" s="2" customFormat="1">
      <c r="A110" s="6"/>
      <c r="C110" s="2" t="s">
        <v>2950</v>
      </c>
      <c r="D110" s="26">
        <v>110000</v>
      </c>
      <c r="E110" s="2">
        <v>120000</v>
      </c>
      <c r="F110" s="19">
        <v>610000</v>
      </c>
      <c r="G110" s="32">
        <v>105600</v>
      </c>
      <c r="H110" s="32">
        <v>105600</v>
      </c>
    </row>
    <row r="111" spans="1:8" s="2" customFormat="1">
      <c r="A111" s="6"/>
      <c r="C111" s="2" t="s">
        <v>2951</v>
      </c>
      <c r="D111" s="26">
        <v>110000</v>
      </c>
      <c r="E111" s="2">
        <v>120000</v>
      </c>
      <c r="F111" s="2">
        <v>630000</v>
      </c>
      <c r="G111" s="32">
        <f>G110*0.2</f>
        <v>21120</v>
      </c>
      <c r="H111" s="32">
        <f>H110*0.2</f>
        <v>21120</v>
      </c>
    </row>
    <row r="112" spans="1:8" s="2" customFormat="1">
      <c r="A112" s="6"/>
      <c r="C112" s="8" t="s">
        <v>1129</v>
      </c>
      <c r="D112" s="26"/>
      <c r="G112" s="32">
        <f>G110+G111</f>
        <v>126720</v>
      </c>
      <c r="H112" s="32">
        <f>H110+H111</f>
        <v>126720</v>
      </c>
    </row>
    <row r="113" spans="1:8" s="2" customFormat="1">
      <c r="A113" s="6"/>
      <c r="C113" s="8" t="s">
        <v>2235</v>
      </c>
      <c r="D113" s="26"/>
      <c r="G113" s="32">
        <f>G112</f>
        <v>126720</v>
      </c>
      <c r="H113" s="32">
        <f>H112</f>
        <v>126720</v>
      </c>
    </row>
    <row r="114" spans="1:8" s="2" customFormat="1">
      <c r="A114" s="6"/>
      <c r="D114" s="26"/>
      <c r="G114" s="32"/>
      <c r="H114" s="32"/>
    </row>
    <row r="115" spans="1:8" s="2" customFormat="1">
      <c r="A115" s="5" t="s">
        <v>2505</v>
      </c>
      <c r="B115" s="2" t="s">
        <v>1223</v>
      </c>
      <c r="E115" s="20"/>
      <c r="G115" s="32"/>
      <c r="H115" s="32"/>
    </row>
    <row r="116" spans="1:8" s="2" customFormat="1">
      <c r="A116" s="5"/>
      <c r="E116" s="20"/>
      <c r="G116" s="32"/>
      <c r="H116" s="32"/>
    </row>
    <row r="117" spans="1:8" s="2" customFormat="1">
      <c r="A117" s="5" t="s">
        <v>833</v>
      </c>
      <c r="B117" s="2" t="s">
        <v>1525</v>
      </c>
      <c r="C117" s="2" t="s">
        <v>2170</v>
      </c>
      <c r="D117" s="2">
        <v>110000</v>
      </c>
      <c r="E117" s="20">
        <v>120100</v>
      </c>
      <c r="F117" s="2">
        <v>610210</v>
      </c>
      <c r="G117" s="32">
        <f>34000+1020</f>
        <v>35020</v>
      </c>
      <c r="H117" s="32">
        <f>34000+1020</f>
        <v>35020</v>
      </c>
    </row>
    <row r="118" spans="1:8" s="2" customFormat="1">
      <c r="A118" s="5" t="s">
        <v>834</v>
      </c>
      <c r="B118" s="2" t="s">
        <v>2251</v>
      </c>
      <c r="C118" s="2" t="s">
        <v>2877</v>
      </c>
      <c r="D118" s="2">
        <v>110000</v>
      </c>
      <c r="E118" s="20">
        <v>120100</v>
      </c>
      <c r="F118" s="2">
        <v>610410</v>
      </c>
      <c r="G118" s="32">
        <f>21644+606</f>
        <v>22250</v>
      </c>
      <c r="H118" s="32">
        <f>21644+606</f>
        <v>22250</v>
      </c>
    </row>
    <row r="119" spans="1:8" s="2" customFormat="1">
      <c r="A119" s="5"/>
      <c r="C119" s="9" t="s">
        <v>1611</v>
      </c>
      <c r="D119" s="2">
        <v>110000</v>
      </c>
      <c r="E119" s="20">
        <v>120100</v>
      </c>
      <c r="F119" s="2">
        <v>620000</v>
      </c>
      <c r="G119" s="32"/>
      <c r="H119" s="32"/>
    </row>
    <row r="120" spans="1:8" s="2" customFormat="1">
      <c r="A120" s="5"/>
      <c r="C120" s="9" t="s">
        <v>2951</v>
      </c>
      <c r="D120" s="2">
        <v>110000</v>
      </c>
      <c r="E120" s="20">
        <v>120100</v>
      </c>
      <c r="F120" s="2">
        <v>630000</v>
      </c>
      <c r="G120" s="32">
        <f>SUM(G117:G119)*0.21-801</f>
        <v>11225.699999999999</v>
      </c>
      <c r="H120" s="32">
        <f>SUM(H117:H119)*0.21-801</f>
        <v>11225.699999999999</v>
      </c>
    </row>
    <row r="121" spans="1:8" s="2" customFormat="1">
      <c r="A121" s="5"/>
      <c r="C121" s="12" t="s">
        <v>1129</v>
      </c>
      <c r="E121" s="20"/>
      <c r="G121" s="32">
        <f>SUM(G117:G120)</f>
        <v>68495.7</v>
      </c>
      <c r="H121" s="32">
        <f>SUM(H117:H120)</f>
        <v>68495.7</v>
      </c>
    </row>
    <row r="122" spans="1:8" s="2" customFormat="1">
      <c r="A122" s="5"/>
      <c r="C122" s="9" t="s">
        <v>2234</v>
      </c>
      <c r="D122" s="2">
        <v>110000</v>
      </c>
      <c r="E122" s="20">
        <v>120100</v>
      </c>
      <c r="F122" s="2">
        <v>710000</v>
      </c>
      <c r="G122" s="32">
        <v>4020</v>
      </c>
      <c r="H122" s="32">
        <v>4020</v>
      </c>
    </row>
    <row r="123" spans="1:8" s="2" customFormat="1">
      <c r="A123" s="5"/>
      <c r="C123" s="12" t="s">
        <v>2235</v>
      </c>
      <c r="E123" s="20"/>
      <c r="G123" s="32">
        <f>G121+G122</f>
        <v>72515.7</v>
      </c>
      <c r="H123" s="32">
        <f>H121+H122</f>
        <v>72515.7</v>
      </c>
    </row>
    <row r="124" spans="1:8" s="2" customFormat="1">
      <c r="A124" s="5"/>
      <c r="E124" s="20"/>
      <c r="G124" s="32"/>
      <c r="H124" s="32"/>
    </row>
    <row r="125" spans="1:8" s="2" customFormat="1">
      <c r="A125" s="15">
        <v>120210</v>
      </c>
      <c r="B125" s="2" t="s">
        <v>2175</v>
      </c>
      <c r="D125" s="26"/>
      <c r="G125" s="32"/>
      <c r="H125" s="32"/>
    </row>
    <row r="126" spans="1:8" s="2" customFormat="1">
      <c r="D126" s="26"/>
      <c r="G126" s="32"/>
      <c r="H126" s="32"/>
    </row>
    <row r="127" spans="1:8" s="2" customFormat="1">
      <c r="A127" s="6" t="s">
        <v>194</v>
      </c>
      <c r="B127" s="2" t="s">
        <v>2176</v>
      </c>
      <c r="C127" s="2" t="s">
        <v>1150</v>
      </c>
      <c r="D127" s="26">
        <v>110000</v>
      </c>
      <c r="E127" s="2">
        <v>120210</v>
      </c>
      <c r="F127" s="2">
        <v>610210</v>
      </c>
      <c r="G127" s="32">
        <f>37007+5103</f>
        <v>42110</v>
      </c>
      <c r="H127" s="32">
        <f>37007+5103</f>
        <v>42110</v>
      </c>
    </row>
    <row r="128" spans="1:8" s="2" customFormat="1">
      <c r="A128" s="6" t="s">
        <v>195</v>
      </c>
      <c r="B128" s="2" t="s">
        <v>2177</v>
      </c>
      <c r="C128" s="2" t="s">
        <v>1608</v>
      </c>
      <c r="D128" s="26">
        <v>110000</v>
      </c>
      <c r="E128" s="2">
        <v>120210</v>
      </c>
      <c r="F128" s="2">
        <v>610210</v>
      </c>
      <c r="G128" s="32">
        <f>21703+651</f>
        <v>22354</v>
      </c>
      <c r="H128" s="32">
        <f>21703+651</f>
        <v>22354</v>
      </c>
    </row>
    <row r="129" spans="1:8" s="2" customFormat="1">
      <c r="A129" s="6" t="s">
        <v>196</v>
      </c>
      <c r="B129" s="2" t="s">
        <v>2178</v>
      </c>
      <c r="C129" s="2" t="s">
        <v>2877</v>
      </c>
      <c r="D129" s="26">
        <v>110000</v>
      </c>
      <c r="E129" s="2">
        <v>120210</v>
      </c>
      <c r="F129" s="2">
        <v>610410</v>
      </c>
      <c r="G129" s="32">
        <f>31613+885</f>
        <v>32498</v>
      </c>
      <c r="H129" s="32">
        <f>31613+885</f>
        <v>32498</v>
      </c>
    </row>
    <row r="130" spans="1:8" s="2" customFormat="1">
      <c r="A130" s="6" t="s">
        <v>197</v>
      </c>
      <c r="B130" s="2" t="s">
        <v>2179</v>
      </c>
      <c r="C130" s="2" t="s">
        <v>1609</v>
      </c>
      <c r="D130" s="26">
        <v>110000</v>
      </c>
      <c r="E130" s="2">
        <v>120210</v>
      </c>
      <c r="F130" s="2">
        <v>610410</v>
      </c>
      <c r="G130" s="32">
        <f>18371+514</f>
        <v>18885</v>
      </c>
      <c r="H130" s="32">
        <f>18371+514</f>
        <v>18885</v>
      </c>
    </row>
    <row r="131" spans="1:8" s="2" customFormat="1">
      <c r="A131" s="6" t="s">
        <v>198</v>
      </c>
      <c r="B131" s="2" t="s">
        <v>141</v>
      </c>
      <c r="C131" s="2" t="s">
        <v>1608</v>
      </c>
      <c r="D131" s="26">
        <v>110000</v>
      </c>
      <c r="E131" s="2">
        <v>120210</v>
      </c>
      <c r="F131" s="2">
        <v>610210</v>
      </c>
      <c r="G131" s="32">
        <f>21703+651</f>
        <v>22354</v>
      </c>
      <c r="H131" s="32">
        <f>21703+651</f>
        <v>22354</v>
      </c>
    </row>
    <row r="132" spans="1:8" s="2" customFormat="1">
      <c r="A132" s="6" t="s">
        <v>199</v>
      </c>
      <c r="B132" s="2" t="s">
        <v>2180</v>
      </c>
      <c r="C132" s="2" t="s">
        <v>1608</v>
      </c>
      <c r="D132" s="26">
        <v>110000</v>
      </c>
      <c r="E132" s="2">
        <v>120210</v>
      </c>
      <c r="F132" s="2">
        <v>610210</v>
      </c>
      <c r="G132" s="32">
        <f>36485+1095</f>
        <v>37580</v>
      </c>
      <c r="H132" s="32">
        <f>36485+1095</f>
        <v>37580</v>
      </c>
    </row>
    <row r="133" spans="1:8" s="2" customFormat="1">
      <c r="A133" s="6" t="s">
        <v>200</v>
      </c>
      <c r="B133" s="2" t="s">
        <v>1527</v>
      </c>
      <c r="C133" s="2" t="s">
        <v>2692</v>
      </c>
      <c r="D133" s="26">
        <v>110000</v>
      </c>
      <c r="E133" s="2">
        <v>120210</v>
      </c>
      <c r="F133" s="2">
        <v>610410</v>
      </c>
      <c r="G133" s="32">
        <f>10594+297</f>
        <v>10891</v>
      </c>
      <c r="H133" s="32">
        <f>10594+297</f>
        <v>10891</v>
      </c>
    </row>
    <row r="134" spans="1:8" s="2" customFormat="1">
      <c r="A134" s="6" t="s">
        <v>2181</v>
      </c>
      <c r="C134" s="2" t="s">
        <v>1563</v>
      </c>
      <c r="D134" s="26">
        <v>110000</v>
      </c>
      <c r="E134" s="2">
        <v>120210</v>
      </c>
      <c r="F134" s="2">
        <v>610300</v>
      </c>
      <c r="G134" s="32">
        <f>618000-30050</f>
        <v>587950</v>
      </c>
      <c r="H134" s="32">
        <f>618000-30050</f>
        <v>587950</v>
      </c>
    </row>
    <row r="135" spans="1:8" s="2" customFormat="1">
      <c r="A135" s="6" t="s">
        <v>2182</v>
      </c>
      <c r="C135" s="2" t="s">
        <v>2950</v>
      </c>
      <c r="D135" s="26">
        <v>110000</v>
      </c>
      <c r="E135" s="2">
        <v>120210</v>
      </c>
      <c r="F135" s="2">
        <v>610000</v>
      </c>
      <c r="G135" s="36"/>
      <c r="H135" s="36"/>
    </row>
    <row r="136" spans="1:8" s="2" customFormat="1">
      <c r="A136" s="6" t="s">
        <v>2144</v>
      </c>
      <c r="C136" s="2" t="s">
        <v>2903</v>
      </c>
      <c r="D136" s="26">
        <v>110000</v>
      </c>
      <c r="E136" s="2">
        <v>120210</v>
      </c>
      <c r="F136" s="2">
        <v>620000</v>
      </c>
      <c r="G136" s="32">
        <f>27900+3724</f>
        <v>31624</v>
      </c>
      <c r="H136" s="32">
        <f>27900+3724</f>
        <v>31624</v>
      </c>
    </row>
    <row r="137" spans="1:8" s="2" customFormat="1">
      <c r="C137" s="2" t="s">
        <v>2951</v>
      </c>
      <c r="D137" s="26">
        <v>110000</v>
      </c>
      <c r="E137" s="2">
        <v>120210</v>
      </c>
      <c r="F137" s="2">
        <v>630000</v>
      </c>
      <c r="G137" s="32">
        <f>SUM(G127:G132)*0.18+(G134+G136)*0.08+16195</f>
        <v>97401.5</v>
      </c>
      <c r="H137" s="32">
        <f>SUM(H127:H132)*0.18+(H134+H136)*0.08+16195</f>
        <v>97401.5</v>
      </c>
    </row>
    <row r="138" spans="1:8" s="2" customFormat="1">
      <c r="C138" s="8" t="s">
        <v>1129</v>
      </c>
      <c r="D138" s="26"/>
      <c r="G138" s="32">
        <f>SUM(G127:G137)</f>
        <v>903647.5</v>
      </c>
      <c r="H138" s="32">
        <f>SUM(H127:H137)</f>
        <v>903647.5</v>
      </c>
    </row>
    <row r="139" spans="1:8" s="2" customFormat="1">
      <c r="C139" s="2" t="s">
        <v>2234</v>
      </c>
      <c r="D139" s="26">
        <v>110000</v>
      </c>
      <c r="E139" s="2">
        <v>120210</v>
      </c>
      <c r="F139" s="2">
        <v>710000</v>
      </c>
      <c r="G139" s="32">
        <f>254000-50000+36000</f>
        <v>240000</v>
      </c>
      <c r="H139" s="32">
        <f>254000-50000+36000</f>
        <v>240000</v>
      </c>
    </row>
    <row r="140" spans="1:8" s="2" customFormat="1">
      <c r="C140" s="8" t="s">
        <v>2235</v>
      </c>
      <c r="D140" s="26"/>
      <c r="G140" s="32">
        <f>SUM(G138:G139)</f>
        <v>1143647.5</v>
      </c>
      <c r="H140" s="32">
        <f>SUM(H138:H139)</f>
        <v>1143647.5</v>
      </c>
    </row>
    <row r="141" spans="1:8" s="2" customFormat="1">
      <c r="D141" s="26"/>
      <c r="G141" s="32"/>
      <c r="H141" s="32"/>
    </row>
    <row r="142" spans="1:8" s="2" customFormat="1">
      <c r="A142" s="5" t="s">
        <v>2643</v>
      </c>
      <c r="B142" s="2" t="s">
        <v>1065</v>
      </c>
      <c r="E142" s="20"/>
      <c r="G142" s="32"/>
      <c r="H142" s="32"/>
    </row>
    <row r="143" spans="1:8" s="2" customFormat="1">
      <c r="A143" s="5"/>
      <c r="E143" s="20"/>
      <c r="G143" s="32"/>
      <c r="H143" s="32"/>
    </row>
    <row r="144" spans="1:8" s="2" customFormat="1">
      <c r="A144" s="5" t="s">
        <v>812</v>
      </c>
      <c r="B144" s="2" t="s">
        <v>1582</v>
      </c>
      <c r="C144" s="2" t="s">
        <v>1612</v>
      </c>
      <c r="D144" s="2">
        <v>110000</v>
      </c>
      <c r="E144" s="20" t="s">
        <v>2643</v>
      </c>
      <c r="F144" s="2">
        <v>610210</v>
      </c>
      <c r="G144" s="32">
        <f>39000+1175</f>
        <v>40175</v>
      </c>
      <c r="H144" s="32">
        <f>39000+1175</f>
        <v>40175</v>
      </c>
    </row>
    <row r="145" spans="1:8" s="2" customFormat="1">
      <c r="A145" s="5"/>
      <c r="D145" s="2">
        <v>110000</v>
      </c>
      <c r="E145" s="20" t="s">
        <v>3041</v>
      </c>
      <c r="F145" s="2">
        <v>610210</v>
      </c>
      <c r="G145" s="32">
        <f>39000+1175</f>
        <v>40175</v>
      </c>
      <c r="H145" s="32">
        <v>0</v>
      </c>
    </row>
    <row r="146" spans="1:8" s="2" customFormat="1">
      <c r="A146" s="5"/>
      <c r="E146" s="5" t="s">
        <v>2880</v>
      </c>
      <c r="G146" s="32">
        <f>SUM(G144:G145)</f>
        <v>80350</v>
      </c>
      <c r="H146" s="32">
        <f>SUM(H144:H145)</f>
        <v>40175</v>
      </c>
    </row>
    <row r="147" spans="1:8" s="2" customFormat="1">
      <c r="A147" s="5"/>
      <c r="C147" s="2" t="s">
        <v>2951</v>
      </c>
      <c r="D147" s="2">
        <v>110000</v>
      </c>
      <c r="E147" s="20" t="s">
        <v>2643</v>
      </c>
      <c r="F147" s="2">
        <v>630000</v>
      </c>
      <c r="G147" s="32">
        <f>(G144+G145)*0.2</f>
        <v>16070</v>
      </c>
      <c r="H147" s="32">
        <f>H144*0.2</f>
        <v>8035</v>
      </c>
    </row>
    <row r="148" spans="1:8" s="2" customFormat="1">
      <c r="A148" s="5"/>
      <c r="C148" s="8" t="s">
        <v>1129</v>
      </c>
      <c r="E148" s="20"/>
      <c r="G148" s="32">
        <f>G144+G147+G145</f>
        <v>96420</v>
      </c>
      <c r="H148" s="32">
        <f>H144+H147</f>
        <v>48210</v>
      </c>
    </row>
    <row r="149" spans="1:8" s="2" customFormat="1">
      <c r="A149" s="5"/>
      <c r="C149" s="2" t="s">
        <v>2234</v>
      </c>
      <c r="D149" s="2">
        <v>110000</v>
      </c>
      <c r="E149" s="20" t="s">
        <v>2643</v>
      </c>
      <c r="F149" s="2">
        <v>710000</v>
      </c>
      <c r="G149" s="32">
        <v>10000</v>
      </c>
      <c r="H149" s="32">
        <v>10000</v>
      </c>
    </row>
    <row r="150" spans="1:8" s="2" customFormat="1">
      <c r="A150" s="5"/>
      <c r="C150" s="8" t="s">
        <v>2235</v>
      </c>
      <c r="E150" s="20"/>
      <c r="G150" s="32">
        <f>SUM(G148:G149)</f>
        <v>106420</v>
      </c>
      <c r="H150" s="32">
        <f>SUM(H148:H149)</f>
        <v>58210</v>
      </c>
    </row>
    <row r="151" spans="1:8" s="2" customFormat="1">
      <c r="A151" s="5"/>
      <c r="E151" s="20"/>
      <c r="G151" s="32"/>
      <c r="H151" s="32"/>
    </row>
    <row r="152" spans="1:8" s="2" customFormat="1">
      <c r="A152" s="6" t="s">
        <v>2223</v>
      </c>
      <c r="B152" s="9" t="s">
        <v>988</v>
      </c>
      <c r="E152" s="20"/>
      <c r="G152" s="32"/>
      <c r="H152" s="32"/>
    </row>
    <row r="153" spans="1:8" s="2" customFormat="1">
      <c r="A153" s="5"/>
      <c r="E153" s="20"/>
      <c r="G153" s="32"/>
      <c r="H153" s="32"/>
    </row>
    <row r="154" spans="1:8" s="2" customFormat="1">
      <c r="A154" s="5" t="s">
        <v>390</v>
      </c>
      <c r="B154" s="2" t="s">
        <v>989</v>
      </c>
      <c r="C154" s="9" t="s">
        <v>2170</v>
      </c>
      <c r="D154" s="2">
        <v>110000</v>
      </c>
      <c r="E154" s="20" t="s">
        <v>2223</v>
      </c>
      <c r="F154" s="2">
        <v>610210</v>
      </c>
      <c r="G154" s="32">
        <f>64500+1850</f>
        <v>66350</v>
      </c>
      <c r="H154" s="32">
        <f>64500+1850</f>
        <v>66350</v>
      </c>
    </row>
    <row r="155" spans="1:8" s="2" customFormat="1">
      <c r="A155" s="5" t="s">
        <v>391</v>
      </c>
      <c r="B155" s="2" t="s">
        <v>990</v>
      </c>
      <c r="C155" s="9" t="s">
        <v>1007</v>
      </c>
      <c r="D155" s="2">
        <v>110000</v>
      </c>
      <c r="E155" s="20" t="s">
        <v>2223</v>
      </c>
      <c r="F155" s="2">
        <v>610210</v>
      </c>
      <c r="G155" s="32">
        <f>42551+1277</f>
        <v>43828</v>
      </c>
      <c r="H155" s="32">
        <f>42551+1277</f>
        <v>43828</v>
      </c>
    </row>
    <row r="156" spans="1:8" s="2" customFormat="1">
      <c r="A156" s="5" t="s">
        <v>392</v>
      </c>
      <c r="B156" s="2" t="s">
        <v>991</v>
      </c>
      <c r="C156" s="9" t="s">
        <v>1609</v>
      </c>
      <c r="D156" s="2">
        <v>110000</v>
      </c>
      <c r="E156" s="20" t="s">
        <v>2223</v>
      </c>
      <c r="F156" s="2">
        <v>610410</v>
      </c>
      <c r="G156" s="32">
        <f>19198+538</f>
        <v>19736</v>
      </c>
      <c r="H156" s="32">
        <f>19198+538</f>
        <v>19736</v>
      </c>
    </row>
    <row r="157" spans="1:8" s="2" customFormat="1">
      <c r="A157" s="5"/>
      <c r="C157" s="9" t="s">
        <v>1611</v>
      </c>
      <c r="D157" s="2">
        <v>110000</v>
      </c>
      <c r="E157" s="20" t="s">
        <v>2223</v>
      </c>
      <c r="F157" s="2">
        <v>620000</v>
      </c>
      <c r="G157" s="32">
        <v>6000</v>
      </c>
      <c r="H157" s="32">
        <v>6000</v>
      </c>
    </row>
    <row r="158" spans="1:8" s="2" customFormat="1">
      <c r="A158" s="5"/>
      <c r="C158" s="9" t="s">
        <v>2950</v>
      </c>
      <c r="D158" s="2">
        <v>110000</v>
      </c>
      <c r="E158" s="20" t="s">
        <v>2223</v>
      </c>
      <c r="F158" s="2">
        <v>610000</v>
      </c>
      <c r="G158" s="36"/>
      <c r="H158" s="36"/>
    </row>
    <row r="159" spans="1:8" s="2" customFormat="1">
      <c r="A159" s="5"/>
      <c r="C159" s="9" t="s">
        <v>2951</v>
      </c>
      <c r="D159" s="2">
        <v>110000</v>
      </c>
      <c r="E159" s="20" t="s">
        <v>2223</v>
      </c>
      <c r="F159" s="2">
        <v>630000</v>
      </c>
      <c r="G159" s="32">
        <f>SUM(G154:G158)*0.18</f>
        <v>24464.52</v>
      </c>
      <c r="H159" s="32">
        <f>SUM(H154:H158)*0.18</f>
        <v>24464.52</v>
      </c>
    </row>
    <row r="160" spans="1:8" s="2" customFormat="1">
      <c r="A160" s="5"/>
      <c r="C160" s="12" t="s">
        <v>1129</v>
      </c>
      <c r="E160" s="20"/>
      <c r="G160" s="32">
        <f>SUM(G154:G159)</f>
        <v>160378.51999999999</v>
      </c>
      <c r="H160" s="32">
        <f>SUM(H154:H159)</f>
        <v>160378.51999999999</v>
      </c>
    </row>
    <row r="161" spans="1:8" s="2" customFormat="1">
      <c r="A161" s="5"/>
      <c r="C161" s="9" t="s">
        <v>2234</v>
      </c>
      <c r="D161" s="2">
        <v>110000</v>
      </c>
      <c r="E161" s="20" t="s">
        <v>2223</v>
      </c>
      <c r="F161" s="2">
        <v>710000</v>
      </c>
      <c r="G161" s="32">
        <v>16000</v>
      </c>
      <c r="H161" s="32">
        <v>16000</v>
      </c>
    </row>
    <row r="162" spans="1:8" s="2" customFormat="1">
      <c r="A162" s="5"/>
      <c r="C162" s="12" t="s">
        <v>2235</v>
      </c>
      <c r="E162" s="20"/>
      <c r="G162" s="32">
        <f>G160+G161</f>
        <v>176378.52</v>
      </c>
      <c r="H162" s="32">
        <f>H160+H161</f>
        <v>176378.52</v>
      </c>
    </row>
    <row r="163" spans="1:8" s="2" customFormat="1">
      <c r="A163" s="5"/>
      <c r="E163" s="20"/>
      <c r="G163" s="32"/>
      <c r="H163" s="32"/>
    </row>
    <row r="164" spans="1:8" s="2" customFormat="1">
      <c r="A164" s="6" t="s">
        <v>477</v>
      </c>
      <c r="B164" s="2" t="s">
        <v>1597</v>
      </c>
      <c r="E164" s="20"/>
      <c r="G164" s="32"/>
      <c r="H164" s="32"/>
    </row>
    <row r="165" spans="1:8" s="2" customFormat="1">
      <c r="A165" s="5"/>
      <c r="E165" s="20"/>
      <c r="G165" s="32"/>
      <c r="H165" s="32"/>
    </row>
    <row r="166" spans="1:8" s="2" customFormat="1">
      <c r="A166" s="5" t="s">
        <v>1072</v>
      </c>
      <c r="B166" s="2" t="s">
        <v>1598</v>
      </c>
      <c r="C166" s="9" t="s">
        <v>2797</v>
      </c>
      <c r="D166" s="2">
        <v>110000</v>
      </c>
      <c r="E166" s="20" t="s">
        <v>477</v>
      </c>
      <c r="F166" s="2">
        <v>610210</v>
      </c>
      <c r="G166" s="32">
        <f>92700+3900</f>
        <v>96600</v>
      </c>
      <c r="H166" s="32">
        <f>92700+3900</f>
        <v>96600</v>
      </c>
    </row>
    <row r="167" spans="1:8" s="2" customFormat="1">
      <c r="A167" s="5" t="s">
        <v>1073</v>
      </c>
      <c r="B167" s="2" t="s">
        <v>1599</v>
      </c>
      <c r="C167" s="9" t="s">
        <v>1061</v>
      </c>
      <c r="D167" s="2">
        <v>110000</v>
      </c>
      <c r="E167" s="20" t="s">
        <v>477</v>
      </c>
      <c r="F167" s="2">
        <v>610410</v>
      </c>
      <c r="G167" s="32">
        <f>27764+777</f>
        <v>28541</v>
      </c>
      <c r="H167" s="32">
        <f>27764+777</f>
        <v>28541</v>
      </c>
    </row>
    <row r="168" spans="1:8" s="2" customFormat="1">
      <c r="A168" s="5"/>
      <c r="C168" s="9" t="s">
        <v>1611</v>
      </c>
      <c r="D168" s="2">
        <v>110000</v>
      </c>
      <c r="E168" s="20" t="s">
        <v>477</v>
      </c>
      <c r="F168" s="2">
        <v>620000</v>
      </c>
      <c r="G168" s="32">
        <v>3813</v>
      </c>
      <c r="H168" s="32">
        <f>G168</f>
        <v>3813</v>
      </c>
    </row>
    <row r="169" spans="1:8" s="2" customFormat="1">
      <c r="A169" s="5"/>
      <c r="C169" s="9" t="s">
        <v>2950</v>
      </c>
      <c r="D169" s="2">
        <v>110000</v>
      </c>
      <c r="E169" s="20" t="s">
        <v>477</v>
      </c>
      <c r="F169" s="2">
        <v>610000</v>
      </c>
      <c r="G169" s="32"/>
      <c r="H169" s="32"/>
    </row>
    <row r="170" spans="1:8" s="2" customFormat="1">
      <c r="A170" s="5"/>
      <c r="C170" s="9" t="s">
        <v>2951</v>
      </c>
      <c r="D170" s="2">
        <v>110000</v>
      </c>
      <c r="E170" s="20" t="s">
        <v>477</v>
      </c>
      <c r="F170" s="2">
        <v>630000</v>
      </c>
      <c r="G170" s="32">
        <f>SUM(G166:G169)*0.213</f>
        <v>27467.202000000001</v>
      </c>
      <c r="H170" s="32">
        <f>SUM(H166:H169)*0.213</f>
        <v>27467.202000000001</v>
      </c>
    </row>
    <row r="171" spans="1:8" s="2" customFormat="1">
      <c r="A171" s="5"/>
      <c r="C171" s="12" t="s">
        <v>1129</v>
      </c>
      <c r="E171" s="20"/>
      <c r="G171" s="32">
        <f>SUM(G166:G170)</f>
        <v>156421.20199999999</v>
      </c>
      <c r="H171" s="32">
        <f>SUM(H166:H170)</f>
        <v>156421.20199999999</v>
      </c>
    </row>
    <row r="172" spans="1:8" s="2" customFormat="1">
      <c r="A172" s="5"/>
      <c r="C172" s="9" t="s">
        <v>2234</v>
      </c>
      <c r="D172" s="2">
        <v>110000</v>
      </c>
      <c r="E172" s="20" t="s">
        <v>477</v>
      </c>
      <c r="F172" s="2">
        <v>710000</v>
      </c>
      <c r="G172" s="32">
        <f>59000-2000</f>
        <v>57000</v>
      </c>
      <c r="H172" s="32">
        <f>59000-2000</f>
        <v>57000</v>
      </c>
    </row>
    <row r="173" spans="1:8" s="2" customFormat="1">
      <c r="A173" s="5"/>
      <c r="C173" s="12" t="s">
        <v>2235</v>
      </c>
      <c r="E173" s="20"/>
      <c r="G173" s="32">
        <f>G171+G172</f>
        <v>213421.20199999999</v>
      </c>
      <c r="H173" s="32">
        <f>H171+H172</f>
        <v>213421.20199999999</v>
      </c>
    </row>
    <row r="174" spans="1:8" s="2" customFormat="1">
      <c r="A174" s="5"/>
      <c r="C174" s="12"/>
      <c r="E174" s="20"/>
      <c r="G174" s="32"/>
      <c r="H174" s="32"/>
    </row>
    <row r="175" spans="1:8" s="2" customFormat="1">
      <c r="A175" s="6" t="s">
        <v>477</v>
      </c>
      <c r="B175" s="2" t="s">
        <v>1600</v>
      </c>
      <c r="C175" s="12"/>
      <c r="E175" s="20"/>
      <c r="G175" s="32"/>
      <c r="H175" s="32"/>
    </row>
    <row r="176" spans="1:8" s="2" customFormat="1">
      <c r="A176" s="5"/>
      <c r="C176" s="12"/>
      <c r="E176" s="20"/>
      <c r="G176" s="32"/>
      <c r="H176" s="32"/>
    </row>
    <row r="177" spans="1:8" s="2" customFormat="1">
      <c r="A177" s="5"/>
      <c r="C177" s="9" t="s">
        <v>2234</v>
      </c>
      <c r="D177" s="2">
        <v>110000</v>
      </c>
      <c r="E177" s="20" t="s">
        <v>477</v>
      </c>
      <c r="F177" s="2">
        <v>710000</v>
      </c>
      <c r="G177" s="32">
        <v>20000</v>
      </c>
      <c r="H177" s="32">
        <v>20000</v>
      </c>
    </row>
    <row r="178" spans="1:8" s="2" customFormat="1">
      <c r="A178" s="5"/>
      <c r="C178" s="12" t="s">
        <v>2235</v>
      </c>
      <c r="E178" s="20"/>
      <c r="G178" s="32">
        <f>G177</f>
        <v>20000</v>
      </c>
      <c r="H178" s="32">
        <f>H177</f>
        <v>20000</v>
      </c>
    </row>
    <row r="179" spans="1:8" s="2" customFormat="1">
      <c r="A179" s="5"/>
      <c r="C179" s="12"/>
      <c r="E179" s="20"/>
      <c r="G179" s="32"/>
      <c r="H179" s="32"/>
    </row>
    <row r="180" spans="1:8" s="2" customFormat="1">
      <c r="A180" s="6" t="s">
        <v>477</v>
      </c>
      <c r="B180" s="2" t="s">
        <v>2749</v>
      </c>
      <c r="E180" s="20"/>
      <c r="G180" s="32"/>
      <c r="H180" s="32"/>
    </row>
    <row r="181" spans="1:8" s="2" customFormat="1">
      <c r="A181" s="5"/>
      <c r="E181" s="20"/>
      <c r="G181" s="32"/>
      <c r="H181" s="32"/>
    </row>
    <row r="182" spans="1:8" s="2" customFormat="1">
      <c r="A182" s="5"/>
      <c r="C182" s="9" t="s">
        <v>2234</v>
      </c>
      <c r="D182" s="2">
        <v>110000</v>
      </c>
      <c r="E182" s="20" t="s">
        <v>477</v>
      </c>
      <c r="F182" s="2">
        <v>710000</v>
      </c>
      <c r="G182" s="32">
        <f>55731+6972+15730</f>
        <v>78433</v>
      </c>
      <c r="H182" s="32">
        <f>55731+6972+15730</f>
        <v>78433</v>
      </c>
    </row>
    <row r="183" spans="1:8" s="2" customFormat="1">
      <c r="A183" s="5"/>
      <c r="C183" s="12" t="s">
        <v>2235</v>
      </c>
      <c r="E183" s="20"/>
      <c r="G183" s="32">
        <f>G182</f>
        <v>78433</v>
      </c>
      <c r="H183" s="32">
        <f>H182</f>
        <v>78433</v>
      </c>
    </row>
    <row r="184" spans="1:8" s="2" customFormat="1">
      <c r="A184" s="5"/>
      <c r="E184" s="20"/>
      <c r="G184" s="32"/>
      <c r="H184" s="32"/>
    </row>
    <row r="185" spans="1:8" s="2" customFormat="1">
      <c r="A185" s="6" t="s">
        <v>478</v>
      </c>
      <c r="B185" s="2" t="s">
        <v>1032</v>
      </c>
      <c r="E185" s="20"/>
      <c r="G185" s="32"/>
      <c r="H185" s="32"/>
    </row>
    <row r="186" spans="1:8" s="2" customFormat="1">
      <c r="A186" s="5"/>
      <c r="E186" s="20"/>
      <c r="G186" s="32"/>
      <c r="H186" s="32"/>
    </row>
    <row r="187" spans="1:8" s="2" customFormat="1">
      <c r="A187" s="5" t="s">
        <v>1074</v>
      </c>
      <c r="B187" s="2" t="s">
        <v>1033</v>
      </c>
      <c r="C187" s="9" t="s">
        <v>2798</v>
      </c>
      <c r="D187" s="2">
        <v>110000</v>
      </c>
      <c r="E187" s="20" t="s">
        <v>478</v>
      </c>
      <c r="F187" s="2">
        <v>610210</v>
      </c>
      <c r="G187" s="32">
        <f>77214+2162</f>
        <v>79376</v>
      </c>
      <c r="H187" s="32">
        <f>77214+2162</f>
        <v>79376</v>
      </c>
    </row>
    <row r="188" spans="1:8" s="2" customFormat="1">
      <c r="A188" s="5"/>
      <c r="C188" s="9" t="s">
        <v>2950</v>
      </c>
      <c r="D188" s="2">
        <v>110000</v>
      </c>
      <c r="E188" s="20" t="s">
        <v>478</v>
      </c>
      <c r="F188" s="2">
        <v>610000</v>
      </c>
      <c r="G188" s="36"/>
      <c r="H188" s="36"/>
    </row>
    <row r="189" spans="1:8" s="2" customFormat="1">
      <c r="A189" s="5"/>
      <c r="C189" s="9" t="s">
        <v>2951</v>
      </c>
      <c r="D189" s="2">
        <v>110000</v>
      </c>
      <c r="E189" s="20" t="s">
        <v>478</v>
      </c>
      <c r="F189" s="2">
        <v>630000</v>
      </c>
      <c r="G189" s="32">
        <f>SUM(G187:G188)*0.22</f>
        <v>17462.72</v>
      </c>
      <c r="H189" s="32">
        <f>SUM(H187:H188)*0.22</f>
        <v>17462.72</v>
      </c>
    </row>
    <row r="190" spans="1:8" s="2" customFormat="1">
      <c r="A190" s="5"/>
      <c r="C190" s="12" t="s">
        <v>1129</v>
      </c>
      <c r="E190" s="20"/>
      <c r="G190" s="32">
        <f>SUM(G187:G189)</f>
        <v>96838.720000000001</v>
      </c>
      <c r="H190" s="32">
        <f>SUM(H187:H189)</f>
        <v>96838.720000000001</v>
      </c>
    </row>
    <row r="191" spans="1:8" s="2" customFormat="1">
      <c r="A191" s="5"/>
      <c r="C191" s="9" t="s">
        <v>2234</v>
      </c>
      <c r="D191" s="2">
        <v>110000</v>
      </c>
      <c r="E191" s="20" t="s">
        <v>478</v>
      </c>
      <c r="F191" s="2">
        <v>710000</v>
      </c>
      <c r="G191" s="32">
        <v>2000</v>
      </c>
      <c r="H191" s="32">
        <v>2000</v>
      </c>
    </row>
    <row r="192" spans="1:8" s="2" customFormat="1">
      <c r="A192" s="5"/>
      <c r="C192" s="12" t="s">
        <v>2235</v>
      </c>
      <c r="E192" s="20"/>
      <c r="G192" s="32">
        <f>G190+G191</f>
        <v>98838.720000000001</v>
      </c>
      <c r="H192" s="32">
        <f>H190+H191</f>
        <v>98838.720000000001</v>
      </c>
    </row>
    <row r="193" spans="1:8" s="2" customFormat="1">
      <c r="A193" s="5"/>
      <c r="E193" s="20"/>
      <c r="G193" s="32"/>
      <c r="H193" s="32"/>
    </row>
    <row r="194" spans="1:8" s="2" customFormat="1">
      <c r="A194" s="6" t="s">
        <v>464</v>
      </c>
      <c r="B194" s="9" t="s">
        <v>2272</v>
      </c>
      <c r="E194" s="20"/>
      <c r="G194" s="32"/>
      <c r="H194" s="32"/>
    </row>
    <row r="195" spans="1:8" s="2" customFormat="1">
      <c r="A195" s="5"/>
      <c r="E195" s="20"/>
      <c r="G195" s="32"/>
      <c r="H195" s="32"/>
    </row>
    <row r="196" spans="1:8" s="2" customFormat="1">
      <c r="A196" s="5" t="s">
        <v>2281</v>
      </c>
      <c r="B196" s="9" t="s">
        <v>2273</v>
      </c>
      <c r="C196" s="9" t="s">
        <v>2805</v>
      </c>
      <c r="D196" s="2">
        <v>110000</v>
      </c>
      <c r="E196" s="20" t="s">
        <v>464</v>
      </c>
      <c r="F196" s="2">
        <v>610210</v>
      </c>
      <c r="G196" s="32">
        <f>64915+1818</f>
        <v>66733</v>
      </c>
      <c r="H196" s="32">
        <f>64915+1818</f>
        <v>66733</v>
      </c>
    </row>
    <row r="197" spans="1:8" s="2" customFormat="1">
      <c r="A197" s="5" t="s">
        <v>2282</v>
      </c>
      <c r="B197" s="9" t="s">
        <v>2274</v>
      </c>
      <c r="C197" s="9" t="s">
        <v>1021</v>
      </c>
      <c r="D197" s="2">
        <v>110000</v>
      </c>
      <c r="E197" s="20" t="s">
        <v>464</v>
      </c>
      <c r="F197" s="2">
        <v>610210</v>
      </c>
      <c r="G197" s="32">
        <f>50645+1418</f>
        <v>52063</v>
      </c>
      <c r="H197" s="32">
        <f>50645+1418</f>
        <v>52063</v>
      </c>
    </row>
    <row r="198" spans="1:8" s="2" customFormat="1">
      <c r="A198" s="5" t="s">
        <v>2283</v>
      </c>
      <c r="B198" s="9" t="s">
        <v>2275</v>
      </c>
      <c r="C198" s="9" t="s">
        <v>2170</v>
      </c>
      <c r="D198" s="2">
        <v>110000</v>
      </c>
      <c r="E198" s="20" t="s">
        <v>464</v>
      </c>
      <c r="F198" s="2">
        <v>610210</v>
      </c>
      <c r="G198" s="32">
        <f>41964+1955</f>
        <v>43919</v>
      </c>
      <c r="H198" s="32">
        <f>41964+1955</f>
        <v>43919</v>
      </c>
    </row>
    <row r="199" spans="1:8" s="2" customFormat="1">
      <c r="A199" s="5" t="s">
        <v>2284</v>
      </c>
      <c r="B199" s="9" t="s">
        <v>1538</v>
      </c>
      <c r="C199" s="9" t="s">
        <v>1608</v>
      </c>
      <c r="D199" s="2">
        <v>110000</v>
      </c>
      <c r="E199" s="20" t="s">
        <v>464</v>
      </c>
      <c r="F199" s="2">
        <v>610210</v>
      </c>
      <c r="G199" s="32">
        <f>21000+588</f>
        <v>21588</v>
      </c>
      <c r="H199" s="32">
        <f>21000+588</f>
        <v>21588</v>
      </c>
    </row>
    <row r="200" spans="1:8">
      <c r="A200" s="5" t="s">
        <v>2285</v>
      </c>
      <c r="B200" s="9" t="s">
        <v>2989</v>
      </c>
      <c r="C200" s="9" t="s">
        <v>2884</v>
      </c>
      <c r="D200" s="2">
        <v>110000</v>
      </c>
      <c r="E200" s="20" t="s">
        <v>464</v>
      </c>
      <c r="F200" s="2">
        <v>610210</v>
      </c>
      <c r="G200" s="32">
        <f>25792+722</f>
        <v>26514</v>
      </c>
      <c r="H200" s="32">
        <f>25792+722</f>
        <v>26514</v>
      </c>
    </row>
    <row r="201" spans="1:8" s="2" customFormat="1">
      <c r="A201" s="5" t="s">
        <v>2286</v>
      </c>
      <c r="B201" s="9" t="s">
        <v>2990</v>
      </c>
      <c r="C201" s="9" t="s">
        <v>2884</v>
      </c>
      <c r="D201" s="2">
        <v>110000</v>
      </c>
      <c r="E201" s="20" t="s">
        <v>464</v>
      </c>
      <c r="F201" s="2">
        <v>610210</v>
      </c>
      <c r="G201" s="32">
        <f>25792+722</f>
        <v>26514</v>
      </c>
      <c r="H201" s="32">
        <f>25792+722</f>
        <v>26514</v>
      </c>
    </row>
    <row r="202" spans="1:8" s="2" customFormat="1">
      <c r="A202" s="5" t="s">
        <v>2287</v>
      </c>
      <c r="B202" s="9" t="s">
        <v>2991</v>
      </c>
      <c r="C202" s="9" t="s">
        <v>2688</v>
      </c>
      <c r="D202" s="2">
        <v>110000</v>
      </c>
      <c r="E202" s="20" t="s">
        <v>464</v>
      </c>
      <c r="F202" s="2">
        <v>610210</v>
      </c>
      <c r="G202" s="32">
        <f>14077+394</f>
        <v>14471</v>
      </c>
      <c r="H202" s="32">
        <f>14077+394</f>
        <v>14471</v>
      </c>
    </row>
    <row r="203" spans="1:8" s="2" customFormat="1">
      <c r="A203" s="5"/>
      <c r="D203" s="2">
        <v>110000</v>
      </c>
      <c r="E203" s="20" t="s">
        <v>3031</v>
      </c>
      <c r="F203" s="2">
        <v>610110</v>
      </c>
      <c r="G203" s="32">
        <f>17618+493</f>
        <v>18111</v>
      </c>
      <c r="H203" s="32"/>
    </row>
    <row r="204" spans="1:8" s="2" customFormat="1">
      <c r="A204" s="5"/>
      <c r="E204" s="9" t="s">
        <v>2880</v>
      </c>
      <c r="G204" s="32">
        <f>G202+G203</f>
        <v>32582</v>
      </c>
      <c r="H204" s="32">
        <f>H202+H203</f>
        <v>14471</v>
      </c>
    </row>
    <row r="205" spans="1:8" s="2" customFormat="1">
      <c r="A205" s="5" t="s">
        <v>2288</v>
      </c>
      <c r="B205" s="9" t="s">
        <v>2689</v>
      </c>
      <c r="C205" s="9" t="s">
        <v>1456</v>
      </c>
      <c r="D205" s="2">
        <v>110000</v>
      </c>
      <c r="E205" s="20" t="s">
        <v>464</v>
      </c>
      <c r="F205" s="2">
        <v>610410</v>
      </c>
      <c r="G205" s="32">
        <f>24567+688</f>
        <v>25255</v>
      </c>
      <c r="H205" s="32">
        <f>24567+688</f>
        <v>25255</v>
      </c>
    </row>
    <row r="206" spans="1:8" s="2" customFormat="1">
      <c r="A206" s="5" t="s">
        <v>2289</v>
      </c>
      <c r="B206" s="9" t="s">
        <v>2690</v>
      </c>
      <c r="C206" s="9" t="s">
        <v>2884</v>
      </c>
      <c r="D206" s="2">
        <v>110000</v>
      </c>
      <c r="E206" s="20" t="s">
        <v>464</v>
      </c>
      <c r="F206" s="2">
        <v>610210</v>
      </c>
      <c r="G206" s="32">
        <f>26322+737</f>
        <v>27059</v>
      </c>
      <c r="H206" s="32">
        <f>26322+737</f>
        <v>27059</v>
      </c>
    </row>
    <row r="207" spans="1:8" s="2" customFormat="1">
      <c r="A207" s="5" t="s">
        <v>2290</v>
      </c>
      <c r="B207" s="9" t="s">
        <v>2417</v>
      </c>
      <c r="C207" s="9" t="s">
        <v>2691</v>
      </c>
      <c r="D207" s="2">
        <v>110000</v>
      </c>
      <c r="E207" s="20" t="s">
        <v>464</v>
      </c>
      <c r="F207" s="2">
        <v>610210</v>
      </c>
      <c r="G207" s="32">
        <v>17000</v>
      </c>
      <c r="H207" s="32">
        <v>17000</v>
      </c>
    </row>
    <row r="208" spans="1:8" s="2" customFormat="1">
      <c r="A208" s="5" t="s">
        <v>2291</v>
      </c>
      <c r="B208" s="9" t="s">
        <v>2693</v>
      </c>
      <c r="C208" s="9" t="s">
        <v>1609</v>
      </c>
      <c r="D208" s="2">
        <v>110000</v>
      </c>
      <c r="E208" s="20" t="s">
        <v>464</v>
      </c>
      <c r="F208" s="2">
        <v>610410</v>
      </c>
      <c r="G208" s="32">
        <f>18369+514</f>
        <v>18883</v>
      </c>
      <c r="H208" s="32">
        <f>18369+514</f>
        <v>18883</v>
      </c>
    </row>
    <row r="209" spans="1:8" s="2" customFormat="1">
      <c r="A209" s="5" t="s">
        <v>2292</v>
      </c>
      <c r="B209" s="9" t="s">
        <v>2501</v>
      </c>
      <c r="C209" s="9" t="s">
        <v>2695</v>
      </c>
      <c r="D209" s="2">
        <v>110000</v>
      </c>
      <c r="E209" s="20" t="s">
        <v>464</v>
      </c>
      <c r="F209" s="2">
        <v>610410</v>
      </c>
      <c r="G209" s="32">
        <f>15595+437</f>
        <v>16032</v>
      </c>
      <c r="H209" s="32">
        <f>15595+437</f>
        <v>16032</v>
      </c>
    </row>
    <row r="210" spans="1:8">
      <c r="A210" s="5" t="s">
        <v>2293</v>
      </c>
      <c r="B210" s="9" t="s">
        <v>2627</v>
      </c>
      <c r="C210" s="9" t="s">
        <v>1609</v>
      </c>
      <c r="D210" s="2">
        <v>110000</v>
      </c>
      <c r="E210" s="20" t="s">
        <v>464</v>
      </c>
      <c r="F210" s="2">
        <v>610410</v>
      </c>
      <c r="G210" s="32">
        <f>15595+437</f>
        <v>16032</v>
      </c>
      <c r="H210" s="32">
        <f>15595+437</f>
        <v>16032</v>
      </c>
    </row>
    <row r="211" spans="1:8" s="2" customFormat="1">
      <c r="A211" s="5" t="s">
        <v>2294</v>
      </c>
      <c r="B211" s="9" t="s">
        <v>2694</v>
      </c>
      <c r="C211" s="9" t="s">
        <v>2695</v>
      </c>
      <c r="D211" s="2">
        <v>110000</v>
      </c>
      <c r="E211" s="20" t="s">
        <v>464</v>
      </c>
      <c r="F211" s="2">
        <v>610410</v>
      </c>
      <c r="G211" s="32">
        <f>14823+415</f>
        <v>15238</v>
      </c>
      <c r="H211" s="32">
        <f>14823+415</f>
        <v>15238</v>
      </c>
    </row>
    <row r="212" spans="1:8" s="2" customFormat="1">
      <c r="A212" s="5" t="s">
        <v>2295</v>
      </c>
      <c r="B212" s="9" t="s">
        <v>2628</v>
      </c>
      <c r="C212" s="9" t="s">
        <v>1609</v>
      </c>
      <c r="D212" s="2">
        <v>110000</v>
      </c>
      <c r="E212" s="20" t="s">
        <v>464</v>
      </c>
      <c r="F212" s="2">
        <v>610410</v>
      </c>
      <c r="G212" s="32">
        <v>16032</v>
      </c>
      <c r="H212" s="32">
        <v>16032</v>
      </c>
    </row>
    <row r="213" spans="1:8" s="2" customFormat="1">
      <c r="A213" s="5" t="s">
        <v>2296</v>
      </c>
      <c r="B213" s="9" t="s">
        <v>2696</v>
      </c>
      <c r="C213" s="9" t="s">
        <v>2697</v>
      </c>
      <c r="D213" s="2">
        <v>110000</v>
      </c>
      <c r="E213" s="20" t="s">
        <v>464</v>
      </c>
      <c r="F213" s="2">
        <v>610410</v>
      </c>
      <c r="G213" s="32">
        <f>21998+616</f>
        <v>22614</v>
      </c>
      <c r="H213" s="32">
        <f>21998+616</f>
        <v>22614</v>
      </c>
    </row>
    <row r="214" spans="1:8" s="2" customFormat="1">
      <c r="A214" s="5" t="s">
        <v>2297</v>
      </c>
      <c r="B214" s="9" t="s">
        <v>2698</v>
      </c>
      <c r="C214" s="9" t="s">
        <v>2729</v>
      </c>
      <c r="D214" s="2">
        <v>110000</v>
      </c>
      <c r="E214" s="20" t="s">
        <v>464</v>
      </c>
      <c r="F214" s="2">
        <v>610410</v>
      </c>
      <c r="G214" s="32">
        <f>21575+604</f>
        <v>22179</v>
      </c>
      <c r="H214" s="32">
        <f>21575+604</f>
        <v>22179</v>
      </c>
    </row>
    <row r="215" spans="1:8" s="2" customFormat="1">
      <c r="A215" s="5" t="s">
        <v>2298</v>
      </c>
      <c r="B215" s="9" t="s">
        <v>2730</v>
      </c>
      <c r="C215" s="9" t="s">
        <v>2502</v>
      </c>
      <c r="D215" s="2">
        <v>110000</v>
      </c>
      <c r="E215" s="20" t="s">
        <v>464</v>
      </c>
      <c r="F215" s="2">
        <v>610410</v>
      </c>
      <c r="G215" s="32">
        <v>18189</v>
      </c>
      <c r="H215" s="32">
        <v>18189</v>
      </c>
    </row>
    <row r="216" spans="1:8" s="2" customFormat="1">
      <c r="A216" s="5" t="s">
        <v>2299</v>
      </c>
      <c r="B216" s="9" t="s">
        <v>770</v>
      </c>
      <c r="C216" s="9" t="s">
        <v>2697</v>
      </c>
      <c r="D216" s="2">
        <v>110000</v>
      </c>
      <c r="E216" s="20" t="s">
        <v>464</v>
      </c>
      <c r="F216" s="2">
        <v>610410</v>
      </c>
      <c r="G216" s="32">
        <f>25731+720</f>
        <v>26451</v>
      </c>
      <c r="H216" s="32">
        <f>25731+720</f>
        <v>26451</v>
      </c>
    </row>
    <row r="217" spans="1:8" s="2" customFormat="1">
      <c r="A217" s="5" t="s">
        <v>2300</v>
      </c>
      <c r="B217" s="9" t="s">
        <v>771</v>
      </c>
      <c r="C217" s="9" t="s">
        <v>2729</v>
      </c>
      <c r="D217" s="2">
        <v>110000</v>
      </c>
      <c r="E217" s="20" t="s">
        <v>464</v>
      </c>
      <c r="F217" s="2">
        <v>610410</v>
      </c>
      <c r="G217" s="32">
        <f>14823+415</f>
        <v>15238</v>
      </c>
      <c r="H217" s="32">
        <f>14823+415</f>
        <v>15238</v>
      </c>
    </row>
    <row r="218" spans="1:8" s="2" customFormat="1">
      <c r="A218" s="5" t="s">
        <v>2301</v>
      </c>
      <c r="B218" s="2" t="s">
        <v>2847</v>
      </c>
      <c r="C218" s="9" t="s">
        <v>2729</v>
      </c>
      <c r="D218" s="2">
        <v>110000</v>
      </c>
      <c r="E218" s="20" t="s">
        <v>464</v>
      </c>
      <c r="F218" s="2">
        <v>610410</v>
      </c>
      <c r="G218" s="32">
        <f>14633+410</f>
        <v>15043</v>
      </c>
      <c r="H218" s="32">
        <f>14633+410</f>
        <v>15043</v>
      </c>
    </row>
    <row r="219" spans="1:8" s="2" customFormat="1">
      <c r="A219" s="5" t="s">
        <v>2302</v>
      </c>
      <c r="B219" s="9" t="s">
        <v>2848</v>
      </c>
      <c r="C219" s="9" t="s">
        <v>2729</v>
      </c>
      <c r="D219" s="2">
        <v>110000</v>
      </c>
      <c r="E219" s="20" t="s">
        <v>464</v>
      </c>
      <c r="F219" s="2">
        <v>610410</v>
      </c>
      <c r="G219" s="32">
        <f>14823+415</f>
        <v>15238</v>
      </c>
      <c r="H219" s="32">
        <f>14823+415</f>
        <v>15238</v>
      </c>
    </row>
    <row r="220" spans="1:8" s="2" customFormat="1">
      <c r="A220" s="5"/>
      <c r="B220" s="9"/>
      <c r="C220" s="9"/>
      <c r="E220" s="22"/>
      <c r="F220" s="13"/>
      <c r="G220" s="32"/>
      <c r="H220" s="32"/>
    </row>
    <row r="221" spans="1:8" s="2" customFormat="1">
      <c r="A221" s="6" t="s">
        <v>464</v>
      </c>
      <c r="B221" s="9" t="s">
        <v>2272</v>
      </c>
      <c r="C221" s="9"/>
      <c r="E221" s="20"/>
      <c r="G221" s="32"/>
      <c r="H221" s="32"/>
    </row>
    <row r="222" spans="1:8" s="2" customFormat="1">
      <c r="A222" s="5"/>
      <c r="C222" s="9"/>
      <c r="E222" s="20"/>
      <c r="G222" s="32"/>
      <c r="H222" s="32"/>
    </row>
    <row r="223" spans="1:8" s="2" customFormat="1">
      <c r="A223" s="5"/>
      <c r="C223" s="9" t="s">
        <v>1611</v>
      </c>
      <c r="D223" s="2">
        <v>110000</v>
      </c>
      <c r="E223" s="20" t="s">
        <v>464</v>
      </c>
      <c r="F223" s="2">
        <v>620000</v>
      </c>
      <c r="G223" s="32">
        <v>32194</v>
      </c>
      <c r="H223" s="32">
        <v>32194</v>
      </c>
    </row>
    <row r="224" spans="1:8" s="2" customFormat="1">
      <c r="A224" s="5"/>
      <c r="C224" s="9" t="s">
        <v>2950</v>
      </c>
      <c r="D224" s="2">
        <v>110000</v>
      </c>
      <c r="E224" s="20" t="s">
        <v>464</v>
      </c>
      <c r="F224" s="2">
        <v>610000</v>
      </c>
      <c r="G224" s="32"/>
      <c r="H224" s="32"/>
    </row>
    <row r="225" spans="1:8">
      <c r="A225" s="5"/>
      <c r="B225" s="2"/>
      <c r="C225" s="9" t="s">
        <v>2951</v>
      </c>
      <c r="D225" s="2">
        <v>110000</v>
      </c>
      <c r="E225" s="20" t="s">
        <v>464</v>
      </c>
      <c r="F225" s="2">
        <v>630000</v>
      </c>
      <c r="G225" s="32">
        <f>(SUM(G196:G224)-G204)*0.21-1134+6245</f>
        <v>128714.9</v>
      </c>
      <c r="H225" s="32">
        <f>(SUM(H196:H224)-H204)*0.21-1134+6245</f>
        <v>124911.59</v>
      </c>
    </row>
    <row r="226" spans="1:8" s="2" customFormat="1">
      <c r="A226" s="5"/>
      <c r="C226" s="12" t="s">
        <v>1129</v>
      </c>
      <c r="E226" s="20"/>
      <c r="G226" s="32">
        <f>SUM(G196:G225)-G204</f>
        <v>717304.9</v>
      </c>
      <c r="H226" s="32">
        <f>SUM(H196:H225)-H204</f>
        <v>695390.59</v>
      </c>
    </row>
    <row r="227" spans="1:8" s="2" customFormat="1">
      <c r="A227" s="5"/>
      <c r="C227" s="9" t="s">
        <v>2234</v>
      </c>
      <c r="D227" s="2">
        <v>110000</v>
      </c>
      <c r="E227" s="20" t="s">
        <v>464</v>
      </c>
      <c r="F227" s="2">
        <v>710000</v>
      </c>
      <c r="G227" s="32">
        <f>121906+1130.22</f>
        <v>123036.22</v>
      </c>
      <c r="H227" s="32">
        <f>121906+1130.22</f>
        <v>123036.22</v>
      </c>
    </row>
    <row r="228" spans="1:8" s="2" customFormat="1">
      <c r="A228" s="5"/>
      <c r="C228" s="12" t="s">
        <v>2235</v>
      </c>
      <c r="E228" s="20"/>
      <c r="G228" s="32">
        <f>G226+G227</f>
        <v>840341.12</v>
      </c>
      <c r="H228" s="32">
        <f>H226+H227</f>
        <v>818426.80999999994</v>
      </c>
    </row>
    <row r="229" spans="1:8" s="2" customFormat="1">
      <c r="A229" s="5"/>
      <c r="E229" s="20"/>
      <c r="G229" s="32"/>
      <c r="H229" s="32"/>
    </row>
    <row r="230" spans="1:8" s="2" customFormat="1">
      <c r="A230" s="15">
        <v>220100</v>
      </c>
      <c r="B230" s="2" t="s">
        <v>536</v>
      </c>
      <c r="D230" s="26"/>
      <c r="G230" s="32"/>
      <c r="H230" s="32"/>
    </row>
    <row r="231" spans="1:8" s="2" customFormat="1">
      <c r="A231" s="15"/>
      <c r="D231" s="26"/>
      <c r="G231" s="32"/>
      <c r="H231" s="32"/>
    </row>
    <row r="232" spans="1:8" s="2" customFormat="1">
      <c r="A232" s="15"/>
      <c r="C232" s="2" t="s">
        <v>537</v>
      </c>
      <c r="D232" s="26">
        <v>110000</v>
      </c>
      <c r="E232" s="2">
        <v>220100</v>
      </c>
      <c r="F232" s="2">
        <v>710000</v>
      </c>
      <c r="G232" s="32">
        <v>1631044</v>
      </c>
      <c r="H232" s="32">
        <v>1631044</v>
      </c>
    </row>
    <row r="233" spans="1:8" s="2" customFormat="1">
      <c r="A233" s="15"/>
      <c r="C233" s="8" t="s">
        <v>2235</v>
      </c>
      <c r="D233" s="26"/>
      <c r="G233" s="32">
        <f>G232</f>
        <v>1631044</v>
      </c>
      <c r="H233" s="32">
        <f>H232</f>
        <v>1631044</v>
      </c>
    </row>
    <row r="234" spans="1:8" s="2" customFormat="1">
      <c r="A234" s="15"/>
      <c r="D234" s="26"/>
      <c r="G234" s="32"/>
      <c r="H234" s="32"/>
    </row>
    <row r="235" spans="1:8" s="2" customFormat="1">
      <c r="A235" s="15">
        <v>220100</v>
      </c>
      <c r="B235" s="2" t="s">
        <v>538</v>
      </c>
      <c r="D235" s="26"/>
      <c r="G235" s="32"/>
      <c r="H235" s="32"/>
    </row>
    <row r="236" spans="1:8" s="2" customFormat="1">
      <c r="A236" s="15"/>
      <c r="D236" s="26"/>
      <c r="G236" s="32"/>
      <c r="H236" s="32"/>
    </row>
    <row r="237" spans="1:8" s="2" customFormat="1">
      <c r="A237" s="15"/>
      <c r="C237" s="2" t="s">
        <v>539</v>
      </c>
      <c r="D237" s="26">
        <v>110000</v>
      </c>
      <c r="E237" s="2">
        <v>220100</v>
      </c>
      <c r="F237" s="19">
        <v>710000</v>
      </c>
      <c r="G237" s="32">
        <v>25000</v>
      </c>
      <c r="H237" s="32">
        <v>25000</v>
      </c>
    </row>
    <row r="238" spans="1:8" s="2" customFormat="1">
      <c r="A238" s="15"/>
      <c r="C238" s="8" t="s">
        <v>2235</v>
      </c>
      <c r="D238" s="26"/>
      <c r="G238" s="32">
        <f>G237</f>
        <v>25000</v>
      </c>
      <c r="H238" s="32">
        <f>H237</f>
        <v>25000</v>
      </c>
    </row>
    <row r="239" spans="1:8" s="2" customFormat="1">
      <c r="A239" s="15"/>
      <c r="D239" s="26"/>
      <c r="G239" s="32"/>
      <c r="H239" s="32"/>
    </row>
    <row r="240" spans="1:8" s="2" customFormat="1">
      <c r="A240" s="15">
        <v>220100</v>
      </c>
      <c r="B240" s="2" t="s">
        <v>2082</v>
      </c>
      <c r="D240" s="26"/>
      <c r="G240" s="32"/>
      <c r="H240" s="32"/>
    </row>
    <row r="241" spans="1:8" s="2" customFormat="1">
      <c r="A241" s="15"/>
      <c r="D241" s="26"/>
      <c r="G241" s="32"/>
      <c r="H241" s="32"/>
    </row>
    <row r="242" spans="1:8" s="2" customFormat="1">
      <c r="A242" s="15"/>
      <c r="C242" s="2" t="s">
        <v>2083</v>
      </c>
      <c r="D242" s="26">
        <v>110000</v>
      </c>
      <c r="E242" s="2">
        <v>220100</v>
      </c>
      <c r="F242" s="2">
        <v>710000</v>
      </c>
      <c r="G242" s="32">
        <v>140000</v>
      </c>
      <c r="H242" s="32">
        <v>140000</v>
      </c>
    </row>
    <row r="243" spans="1:8" s="2" customFormat="1">
      <c r="A243" s="15"/>
      <c r="C243" s="8" t="s">
        <v>2235</v>
      </c>
      <c r="D243" s="26"/>
      <c r="G243" s="32">
        <f>G242</f>
        <v>140000</v>
      </c>
      <c r="H243" s="32">
        <f>H242</f>
        <v>140000</v>
      </c>
    </row>
    <row r="244" spans="1:8" s="2" customFormat="1">
      <c r="A244" s="15"/>
      <c r="D244" s="26"/>
      <c r="G244" s="32"/>
      <c r="H244" s="32"/>
    </row>
    <row r="245" spans="1:8" s="2" customFormat="1">
      <c r="A245" s="15">
        <v>220100</v>
      </c>
      <c r="B245" s="2" t="s">
        <v>2084</v>
      </c>
      <c r="D245" s="26"/>
      <c r="G245" s="32"/>
      <c r="H245" s="32"/>
    </row>
    <row r="246" spans="1:8" s="2" customFormat="1">
      <c r="A246" s="15"/>
      <c r="D246" s="26"/>
      <c r="G246" s="32"/>
      <c r="H246" s="32"/>
    </row>
    <row r="247" spans="1:8" s="2" customFormat="1">
      <c r="A247" s="8"/>
      <c r="C247" s="2" t="s">
        <v>2085</v>
      </c>
      <c r="D247" s="26">
        <v>110000</v>
      </c>
      <c r="E247" s="2">
        <v>220100</v>
      </c>
      <c r="F247" s="2">
        <v>710000</v>
      </c>
      <c r="G247" s="32">
        <v>108679</v>
      </c>
      <c r="H247" s="32">
        <v>108679</v>
      </c>
    </row>
    <row r="248" spans="1:8" s="2" customFormat="1">
      <c r="A248" s="15"/>
      <c r="C248" s="8" t="s">
        <v>2235</v>
      </c>
      <c r="D248" s="26"/>
      <c r="G248" s="32">
        <f>G247</f>
        <v>108679</v>
      </c>
      <c r="H248" s="32">
        <f>H247</f>
        <v>108679</v>
      </c>
    </row>
    <row r="249" spans="1:8" s="2" customFormat="1">
      <c r="A249" s="15"/>
      <c r="D249" s="26"/>
      <c r="G249" s="32"/>
      <c r="H249" s="32"/>
    </row>
    <row r="250" spans="1:8" s="2" customFormat="1">
      <c r="A250" s="6" t="s">
        <v>485</v>
      </c>
      <c r="B250" s="9" t="s">
        <v>1813</v>
      </c>
      <c r="E250" s="20"/>
      <c r="G250" s="32"/>
      <c r="H250" s="32"/>
    </row>
    <row r="251" spans="1:8" s="2" customFormat="1">
      <c r="A251" s="5"/>
      <c r="E251" s="20"/>
      <c r="G251" s="32"/>
      <c r="H251" s="32"/>
    </row>
    <row r="252" spans="1:8" s="2" customFormat="1">
      <c r="A252" s="5" t="s">
        <v>1104</v>
      </c>
      <c r="B252" s="9" t="s">
        <v>1814</v>
      </c>
      <c r="C252" s="9" t="s">
        <v>2803</v>
      </c>
      <c r="D252" s="2">
        <v>110000</v>
      </c>
      <c r="E252" s="20" t="s">
        <v>485</v>
      </c>
      <c r="F252" s="2">
        <v>610210</v>
      </c>
      <c r="G252" s="32">
        <f>57484+1610</f>
        <v>59094</v>
      </c>
      <c r="H252" s="32">
        <f>57484+1610</f>
        <v>59094</v>
      </c>
    </row>
    <row r="253" spans="1:8" s="2" customFormat="1">
      <c r="A253" s="5" t="s">
        <v>1105</v>
      </c>
      <c r="B253" s="2" t="s">
        <v>1815</v>
      </c>
      <c r="C253" s="9" t="s">
        <v>2804</v>
      </c>
      <c r="D253" s="2">
        <v>110000</v>
      </c>
      <c r="E253" s="20" t="s">
        <v>485</v>
      </c>
      <c r="F253" s="2">
        <v>610210</v>
      </c>
      <c r="G253" s="32">
        <f>35994+1008</f>
        <v>37002</v>
      </c>
      <c r="H253" s="32">
        <f>35994+1008</f>
        <v>37002</v>
      </c>
    </row>
    <row r="254" spans="1:8" s="2" customFormat="1">
      <c r="A254" s="5" t="s">
        <v>1106</v>
      </c>
      <c r="B254" s="9" t="s">
        <v>1816</v>
      </c>
      <c r="C254" s="9" t="s">
        <v>769</v>
      </c>
      <c r="D254" s="2">
        <v>110000</v>
      </c>
      <c r="E254" s="20" t="s">
        <v>485</v>
      </c>
      <c r="F254" s="2">
        <v>610410</v>
      </c>
      <c r="G254" s="32">
        <f>21645+606</f>
        <v>22251</v>
      </c>
      <c r="H254" s="32">
        <f>21645+606</f>
        <v>22251</v>
      </c>
    </row>
    <row r="255" spans="1:8" s="2" customFormat="1">
      <c r="A255" s="5" t="s">
        <v>1107</v>
      </c>
      <c r="B255" s="9" t="s">
        <v>2908</v>
      </c>
      <c r="C255" s="9" t="s">
        <v>769</v>
      </c>
      <c r="D255" s="2">
        <v>110000</v>
      </c>
      <c r="E255" s="20" t="s">
        <v>485</v>
      </c>
      <c r="F255" s="2">
        <v>610410</v>
      </c>
      <c r="G255" s="32">
        <f>29555+828</f>
        <v>30383</v>
      </c>
      <c r="H255" s="32">
        <f>29555+828</f>
        <v>30383</v>
      </c>
    </row>
    <row r="256" spans="1:8" s="2" customFormat="1">
      <c r="A256" s="5" t="s">
        <v>1108</v>
      </c>
      <c r="B256" s="9" t="s">
        <v>2909</v>
      </c>
      <c r="C256" s="9" t="s">
        <v>769</v>
      </c>
      <c r="D256" s="2">
        <v>110000</v>
      </c>
      <c r="E256" s="20" t="s">
        <v>485</v>
      </c>
      <c r="F256" s="2">
        <v>610410</v>
      </c>
      <c r="G256" s="32">
        <f>26369+738</f>
        <v>27107</v>
      </c>
      <c r="H256" s="32">
        <f>26369+738</f>
        <v>27107</v>
      </c>
    </row>
    <row r="257" spans="1:8" s="2" customFormat="1">
      <c r="A257" s="5" t="s">
        <v>1109</v>
      </c>
      <c r="B257" s="9" t="s">
        <v>2910</v>
      </c>
      <c r="C257" s="9" t="s">
        <v>769</v>
      </c>
      <c r="D257" s="2">
        <v>110000</v>
      </c>
      <c r="E257" s="20" t="s">
        <v>485</v>
      </c>
      <c r="F257" s="2">
        <v>610410</v>
      </c>
      <c r="G257" s="32">
        <f>25864+724</f>
        <v>26588</v>
      </c>
      <c r="H257" s="32">
        <f>25864+724</f>
        <v>26588</v>
      </c>
    </row>
    <row r="258" spans="1:8" s="2" customFormat="1">
      <c r="A258" s="5" t="s">
        <v>2279</v>
      </c>
      <c r="B258" s="9" t="s">
        <v>2912</v>
      </c>
      <c r="C258" s="9" t="s">
        <v>2913</v>
      </c>
      <c r="D258" s="2">
        <v>110000</v>
      </c>
      <c r="E258" s="20" t="s">
        <v>485</v>
      </c>
      <c r="F258" s="2">
        <v>610410</v>
      </c>
      <c r="G258" s="32">
        <f>19488+546</f>
        <v>20034</v>
      </c>
      <c r="H258" s="32">
        <f>19488+546</f>
        <v>20034</v>
      </c>
    </row>
    <row r="259" spans="1:8" s="2" customFormat="1">
      <c r="A259" s="5" t="s">
        <v>2280</v>
      </c>
      <c r="B259" s="2" t="s">
        <v>2270</v>
      </c>
      <c r="C259" s="9" t="s">
        <v>2271</v>
      </c>
      <c r="D259" s="2">
        <v>110000</v>
      </c>
      <c r="E259" s="20" t="s">
        <v>485</v>
      </c>
      <c r="F259" s="2">
        <v>610410</v>
      </c>
      <c r="G259" s="32">
        <f>17419+488</f>
        <v>17907</v>
      </c>
      <c r="H259" s="32">
        <f>17419+488</f>
        <v>17907</v>
      </c>
    </row>
    <row r="260" spans="1:8" s="2" customFormat="1">
      <c r="A260" s="5"/>
      <c r="C260" s="9" t="s">
        <v>1611</v>
      </c>
      <c r="D260" s="2">
        <v>110000</v>
      </c>
      <c r="E260" s="20" t="s">
        <v>485</v>
      </c>
      <c r="F260" s="2">
        <v>620000</v>
      </c>
      <c r="G260" s="32">
        <v>21645</v>
      </c>
      <c r="H260" s="32">
        <v>21645</v>
      </c>
    </row>
    <row r="261" spans="1:8" s="2" customFormat="1">
      <c r="A261" s="5"/>
      <c r="C261" s="9" t="s">
        <v>2950</v>
      </c>
      <c r="D261" s="2">
        <v>110000</v>
      </c>
      <c r="E261" s="20" t="s">
        <v>485</v>
      </c>
      <c r="F261" s="2">
        <v>610000</v>
      </c>
      <c r="G261" s="32"/>
      <c r="H261" s="32"/>
    </row>
    <row r="262" spans="1:8" s="2" customFormat="1">
      <c r="A262" s="5"/>
      <c r="C262" s="9" t="s">
        <v>2951</v>
      </c>
      <c r="D262" s="2">
        <v>110000</v>
      </c>
      <c r="E262" s="20" t="s">
        <v>485</v>
      </c>
      <c r="F262" s="2">
        <v>630000</v>
      </c>
      <c r="G262" s="32">
        <f>SUM(G252:G261)*0.2</f>
        <v>52402.200000000004</v>
      </c>
      <c r="H262" s="32">
        <f>SUM(H252:H261)*0.2</f>
        <v>52402.200000000004</v>
      </c>
    </row>
    <row r="263" spans="1:8" s="2" customFormat="1">
      <c r="A263" s="5"/>
      <c r="C263" s="12" t="s">
        <v>1129</v>
      </c>
      <c r="E263" s="20"/>
      <c r="G263" s="32">
        <f>SUM(G252:G262)</f>
        <v>314413.2</v>
      </c>
      <c r="H263" s="32">
        <f>SUM(H252:H262)</f>
        <v>314413.2</v>
      </c>
    </row>
    <row r="264" spans="1:8" s="2" customFormat="1">
      <c r="A264" s="5"/>
      <c r="C264" s="9" t="s">
        <v>2234</v>
      </c>
      <c r="D264" s="2">
        <v>110000</v>
      </c>
      <c r="E264" s="20" t="s">
        <v>485</v>
      </c>
      <c r="F264" s="2">
        <v>710000</v>
      </c>
      <c r="G264" s="32">
        <f>48708+681.82</f>
        <v>49389.82</v>
      </c>
      <c r="H264" s="32">
        <f>48708+681.82</f>
        <v>49389.82</v>
      </c>
    </row>
    <row r="265" spans="1:8" s="2" customFormat="1">
      <c r="A265" s="5"/>
      <c r="C265" s="12" t="s">
        <v>2235</v>
      </c>
      <c r="E265" s="20"/>
      <c r="G265" s="32">
        <f>G263+G264</f>
        <v>363803.02</v>
      </c>
      <c r="H265" s="32">
        <f>H263+H264</f>
        <v>363803.02</v>
      </c>
    </row>
    <row r="266" spans="1:8" s="2" customFormat="1">
      <c r="A266" s="5"/>
      <c r="E266" s="20"/>
      <c r="G266" s="32"/>
      <c r="H266" s="32"/>
    </row>
    <row r="267" spans="1:8" s="2" customFormat="1">
      <c r="A267" s="15">
        <v>220300</v>
      </c>
      <c r="B267" s="2" t="s">
        <v>2461</v>
      </c>
      <c r="D267" s="26"/>
      <c r="G267" s="32"/>
      <c r="H267" s="32"/>
    </row>
    <row r="268" spans="1:8" s="2" customFormat="1">
      <c r="A268" s="8"/>
      <c r="D268" s="26"/>
      <c r="G268" s="32"/>
      <c r="H268" s="32"/>
    </row>
    <row r="269" spans="1:8" s="2" customFormat="1">
      <c r="A269" s="8"/>
      <c r="C269" s="2" t="s">
        <v>1807</v>
      </c>
      <c r="D269" s="26">
        <v>110000</v>
      </c>
      <c r="E269" s="2">
        <v>220300</v>
      </c>
      <c r="F269" s="2">
        <v>820000</v>
      </c>
      <c r="G269" s="32">
        <v>83450</v>
      </c>
      <c r="H269" s="32">
        <v>83450</v>
      </c>
    </row>
    <row r="270" spans="1:8" s="2" customFormat="1">
      <c r="A270" s="15"/>
      <c r="C270" s="8" t="s">
        <v>2235</v>
      </c>
      <c r="D270" s="26"/>
      <c r="G270" s="32">
        <f>G269</f>
        <v>83450</v>
      </c>
      <c r="H270" s="32">
        <f>H269</f>
        <v>83450</v>
      </c>
    </row>
    <row r="271" spans="1:8" s="2" customFormat="1">
      <c r="A271" s="15"/>
      <c r="D271" s="26"/>
      <c r="G271" s="32"/>
      <c r="H271" s="32"/>
    </row>
    <row r="272" spans="1:8" s="2" customFormat="1">
      <c r="A272" s="6" t="s">
        <v>479</v>
      </c>
      <c r="B272" s="2" t="s">
        <v>1497</v>
      </c>
      <c r="E272" s="20"/>
      <c r="G272" s="32"/>
      <c r="H272" s="32"/>
    </row>
    <row r="273" spans="1:8" s="2" customFormat="1">
      <c r="A273" s="5"/>
      <c r="E273" s="20"/>
      <c r="G273" s="32"/>
      <c r="H273" s="32"/>
    </row>
    <row r="274" spans="1:8" s="2" customFormat="1">
      <c r="A274" s="5" t="s">
        <v>1075</v>
      </c>
      <c r="B274" s="2" t="s">
        <v>1498</v>
      </c>
      <c r="C274" s="9" t="s">
        <v>2799</v>
      </c>
      <c r="D274" s="2">
        <v>110000</v>
      </c>
      <c r="E274" s="20" t="s">
        <v>479</v>
      </c>
      <c r="F274" s="2">
        <v>610210</v>
      </c>
      <c r="G274" s="32">
        <f>68792+1926</f>
        <v>70718</v>
      </c>
      <c r="H274" s="32">
        <f>68792+1926</f>
        <v>70718</v>
      </c>
    </row>
    <row r="275" spans="1:8" s="2" customFormat="1">
      <c r="A275" s="5" t="s">
        <v>1076</v>
      </c>
      <c r="B275" s="2" t="s">
        <v>1466</v>
      </c>
      <c r="C275" s="9" t="s">
        <v>1468</v>
      </c>
      <c r="D275" s="2">
        <v>110000</v>
      </c>
      <c r="E275" s="20" t="s">
        <v>479</v>
      </c>
      <c r="F275" s="2">
        <v>610210</v>
      </c>
      <c r="G275" s="32">
        <f>49815+1395</f>
        <v>51210</v>
      </c>
      <c r="H275" s="32">
        <f>49815+1395</f>
        <v>51210</v>
      </c>
    </row>
    <row r="276" spans="1:8" s="2" customFormat="1">
      <c r="A276" s="5" t="s">
        <v>1077</v>
      </c>
      <c r="B276" s="2" t="s">
        <v>1469</v>
      </c>
      <c r="C276" s="9" t="s">
        <v>1613</v>
      </c>
      <c r="D276" s="2">
        <v>110000</v>
      </c>
      <c r="E276" s="20" t="s">
        <v>479</v>
      </c>
      <c r="F276" s="2">
        <v>610410</v>
      </c>
      <c r="G276" s="32">
        <f>17924+502</f>
        <v>18426</v>
      </c>
      <c r="H276" s="32">
        <f>17924+502</f>
        <v>18426</v>
      </c>
    </row>
    <row r="277" spans="1:8" s="2" customFormat="1">
      <c r="A277" s="5"/>
      <c r="C277" s="9" t="s">
        <v>2950</v>
      </c>
      <c r="D277" s="2">
        <v>110000</v>
      </c>
      <c r="E277" s="20" t="s">
        <v>479</v>
      </c>
      <c r="F277" s="2">
        <v>610000</v>
      </c>
      <c r="G277" s="36"/>
      <c r="H277" s="36"/>
    </row>
    <row r="278" spans="1:8" s="2" customFormat="1">
      <c r="A278" s="5"/>
      <c r="C278" s="9" t="s">
        <v>2951</v>
      </c>
      <c r="D278" s="2">
        <v>110000</v>
      </c>
      <c r="E278" s="20" t="s">
        <v>479</v>
      </c>
      <c r="F278" s="2">
        <v>630000</v>
      </c>
      <c r="G278" s="32">
        <f>SUM(G274:G277)*0.2</f>
        <v>28070.800000000003</v>
      </c>
      <c r="H278" s="32">
        <f>SUM(H274:H277)*0.2</f>
        <v>28070.800000000003</v>
      </c>
    </row>
    <row r="279" spans="1:8" s="2" customFormat="1">
      <c r="A279" s="5"/>
      <c r="C279" s="12" t="s">
        <v>1129</v>
      </c>
      <c r="E279" s="20"/>
      <c r="G279" s="32">
        <f>SUM(G274:G278)</f>
        <v>168424.8</v>
      </c>
      <c r="H279" s="32">
        <f>SUM(H274:H278)</f>
        <v>168424.8</v>
      </c>
    </row>
    <row r="280" spans="1:8" s="2" customFormat="1">
      <c r="A280" s="5"/>
      <c r="C280" s="9" t="s">
        <v>2234</v>
      </c>
      <c r="D280" s="2">
        <v>110000</v>
      </c>
      <c r="E280" s="20" t="s">
        <v>479</v>
      </c>
      <c r="F280" s="2">
        <v>710000</v>
      </c>
      <c r="G280" s="32">
        <v>4642</v>
      </c>
      <c r="H280" s="32">
        <v>4642</v>
      </c>
    </row>
    <row r="281" spans="1:8" s="2" customFormat="1">
      <c r="A281" s="5"/>
      <c r="C281" s="12" t="s">
        <v>2235</v>
      </c>
      <c r="E281" s="20"/>
      <c r="G281" s="32">
        <f>G279+G280</f>
        <v>173066.8</v>
      </c>
      <c r="H281" s="32">
        <f>H279+H280</f>
        <v>173066.8</v>
      </c>
    </row>
    <row r="282" spans="1:8" s="2" customFormat="1">
      <c r="A282" s="5"/>
      <c r="E282" s="20"/>
      <c r="G282" s="32"/>
      <c r="H282" s="32"/>
    </row>
    <row r="283" spans="1:8" s="2" customFormat="1" ht="10.5" customHeight="1">
      <c r="A283" s="6" t="s">
        <v>480</v>
      </c>
      <c r="B283" s="2" t="s">
        <v>2828</v>
      </c>
      <c r="E283" s="20"/>
      <c r="G283" s="32"/>
      <c r="H283" s="32"/>
    </row>
    <row r="284" spans="1:8" s="2" customFormat="1">
      <c r="A284" s="5"/>
      <c r="E284" s="20"/>
      <c r="G284" s="32"/>
      <c r="H284" s="32"/>
    </row>
    <row r="285" spans="1:8" s="2" customFormat="1">
      <c r="A285" s="5" t="s">
        <v>1078</v>
      </c>
      <c r="B285" s="2" t="s">
        <v>1820</v>
      </c>
      <c r="C285" s="9" t="s">
        <v>1018</v>
      </c>
      <c r="D285" s="2">
        <v>110000</v>
      </c>
      <c r="E285" s="20" t="s">
        <v>480</v>
      </c>
      <c r="F285" s="2">
        <v>610210</v>
      </c>
      <c r="G285" s="32">
        <f>40838+1143</f>
        <v>41981</v>
      </c>
      <c r="H285" s="32">
        <f>40838+1143</f>
        <v>41981</v>
      </c>
    </row>
    <row r="286" spans="1:8" s="2" customFormat="1">
      <c r="A286" s="5" t="s">
        <v>1079</v>
      </c>
      <c r="B286" s="9" t="s">
        <v>1821</v>
      </c>
      <c r="C286" s="9" t="s">
        <v>2800</v>
      </c>
      <c r="D286" s="2">
        <v>110000</v>
      </c>
      <c r="E286" s="20" t="s">
        <v>480</v>
      </c>
      <c r="F286" s="2">
        <v>610210</v>
      </c>
      <c r="G286" s="32">
        <f>39763+1113</f>
        <v>40876</v>
      </c>
      <c r="H286" s="32">
        <f>39763+1113</f>
        <v>40876</v>
      </c>
    </row>
    <row r="287" spans="1:8" s="2" customFormat="1">
      <c r="A287" s="5" t="s">
        <v>1080</v>
      </c>
      <c r="B287" s="2" t="s">
        <v>1822</v>
      </c>
      <c r="C287" s="2" t="s">
        <v>2800</v>
      </c>
      <c r="D287" s="2">
        <v>110000</v>
      </c>
      <c r="E287" s="20" t="s">
        <v>480</v>
      </c>
      <c r="F287" s="2">
        <v>610210</v>
      </c>
      <c r="G287" s="32">
        <f>37077+1038</f>
        <v>38115</v>
      </c>
      <c r="H287" s="32">
        <f>37077+1038</f>
        <v>38115</v>
      </c>
    </row>
    <row r="288" spans="1:8" s="2" customFormat="1">
      <c r="A288" s="5" t="s">
        <v>1081</v>
      </c>
      <c r="B288" s="2" t="s">
        <v>1823</v>
      </c>
      <c r="C288" s="2" t="s">
        <v>1019</v>
      </c>
      <c r="D288" s="2">
        <v>110000</v>
      </c>
      <c r="E288" s="20" t="s">
        <v>480</v>
      </c>
      <c r="F288" s="2">
        <v>610210</v>
      </c>
      <c r="G288" s="32">
        <f>37077+1038</f>
        <v>38115</v>
      </c>
      <c r="H288" s="32">
        <f>37077+1038</f>
        <v>38115</v>
      </c>
    </row>
    <row r="289" spans="1:8" s="2" customFormat="1">
      <c r="A289" s="5" t="s">
        <v>1082</v>
      </c>
      <c r="B289" s="9" t="s">
        <v>2835</v>
      </c>
      <c r="C289" s="9" t="s">
        <v>1609</v>
      </c>
      <c r="D289" s="2">
        <v>195045</v>
      </c>
      <c r="E289" s="20" t="s">
        <v>3030</v>
      </c>
      <c r="F289" s="2">
        <v>610410</v>
      </c>
      <c r="G289" s="32">
        <f>15799+442</f>
        <v>16241</v>
      </c>
      <c r="H289" s="32"/>
    </row>
    <row r="290" spans="1:8" s="2" customFormat="1">
      <c r="A290" s="5" t="s">
        <v>1083</v>
      </c>
      <c r="B290" s="9" t="s">
        <v>2836</v>
      </c>
      <c r="C290" s="9" t="s">
        <v>1613</v>
      </c>
      <c r="D290" s="2">
        <v>110000</v>
      </c>
      <c r="E290" s="20" t="s">
        <v>480</v>
      </c>
      <c r="F290" s="2">
        <v>610410</v>
      </c>
      <c r="G290" s="32">
        <f>19573+548</f>
        <v>20121</v>
      </c>
      <c r="H290" s="32">
        <f>19573+548</f>
        <v>20121</v>
      </c>
    </row>
    <row r="291" spans="1:8" s="2" customFormat="1">
      <c r="A291" s="5" t="s">
        <v>1084</v>
      </c>
      <c r="B291" s="9" t="s">
        <v>2837</v>
      </c>
      <c r="C291" s="9" t="s">
        <v>1608</v>
      </c>
      <c r="D291" s="2">
        <v>110000</v>
      </c>
      <c r="E291" s="20" t="s">
        <v>480</v>
      </c>
      <c r="F291" s="2">
        <v>610210</v>
      </c>
      <c r="G291" s="32">
        <f>13098+367</f>
        <v>13465</v>
      </c>
      <c r="H291" s="32">
        <f>13098+367</f>
        <v>13465</v>
      </c>
    </row>
    <row r="292" spans="1:8" s="2" customFormat="1">
      <c r="A292" s="5"/>
      <c r="B292" s="9"/>
      <c r="C292" s="9"/>
      <c r="D292" s="2">
        <v>110000</v>
      </c>
      <c r="E292" s="20" t="s">
        <v>3031</v>
      </c>
      <c r="F292" s="2">
        <v>610210</v>
      </c>
      <c r="G292" s="32">
        <f>16375+622</f>
        <v>16997</v>
      </c>
      <c r="H292" s="32"/>
    </row>
    <row r="293" spans="1:8" s="2" customFormat="1">
      <c r="A293" s="5"/>
      <c r="B293" s="9"/>
      <c r="C293" s="9"/>
      <c r="E293" s="9" t="s">
        <v>2880</v>
      </c>
      <c r="G293" s="32">
        <f>G291+G292</f>
        <v>30462</v>
      </c>
      <c r="H293" s="32">
        <f>H291+H292</f>
        <v>13465</v>
      </c>
    </row>
    <row r="294" spans="1:8" s="2" customFormat="1">
      <c r="A294" s="5" t="s">
        <v>1085</v>
      </c>
      <c r="B294" s="9" t="s">
        <v>2844</v>
      </c>
      <c r="C294" s="9" t="s">
        <v>2692</v>
      </c>
      <c r="D294" s="2">
        <v>110000</v>
      </c>
      <c r="E294" s="20" t="s">
        <v>480</v>
      </c>
      <c r="F294" s="2">
        <v>610210</v>
      </c>
      <c r="G294" s="32">
        <f>19909+557</f>
        <v>20466</v>
      </c>
      <c r="H294" s="32">
        <f>19909+557</f>
        <v>20466</v>
      </c>
    </row>
    <row r="295" spans="1:8" s="2" customFormat="1">
      <c r="A295" s="5" t="s">
        <v>1086</v>
      </c>
      <c r="B295" s="9" t="s">
        <v>2838</v>
      </c>
      <c r="C295" s="9" t="s">
        <v>1608</v>
      </c>
      <c r="D295" s="2">
        <v>110000</v>
      </c>
      <c r="E295" s="20" t="s">
        <v>480</v>
      </c>
      <c r="F295" s="2">
        <v>610210</v>
      </c>
      <c r="G295" s="32">
        <f>27500+770</f>
        <v>28270</v>
      </c>
      <c r="H295" s="32">
        <f>27500+770</f>
        <v>28270</v>
      </c>
    </row>
    <row r="296" spans="1:8" s="2" customFormat="1">
      <c r="A296" s="5"/>
      <c r="C296" s="9" t="s">
        <v>1611</v>
      </c>
      <c r="D296" s="2">
        <v>110000</v>
      </c>
      <c r="E296" s="20" t="s">
        <v>480</v>
      </c>
      <c r="F296" s="2">
        <v>620000</v>
      </c>
      <c r="G296" s="32">
        <v>522</v>
      </c>
      <c r="H296" s="32">
        <v>522</v>
      </c>
    </row>
    <row r="297" spans="1:8" s="2" customFormat="1">
      <c r="A297" s="5"/>
      <c r="C297" s="9" t="s">
        <v>2950</v>
      </c>
      <c r="D297" s="2">
        <v>110000</v>
      </c>
      <c r="E297" s="20" t="s">
        <v>480</v>
      </c>
      <c r="F297" s="2">
        <v>610000</v>
      </c>
      <c r="G297" s="32"/>
      <c r="H297" s="32"/>
    </row>
    <row r="298" spans="1:8" s="2" customFormat="1">
      <c r="A298" s="5"/>
      <c r="C298" s="9" t="s">
        <v>2951</v>
      </c>
      <c r="D298" s="2">
        <v>110000</v>
      </c>
      <c r="E298" s="20" t="s">
        <v>480</v>
      </c>
      <c r="F298" s="2">
        <v>630000</v>
      </c>
      <c r="G298" s="32">
        <f>(SUM(G285:G297)-G293)*0.23</f>
        <v>63288.87</v>
      </c>
      <c r="H298" s="32">
        <f>(SUM(H285:H297)-H293)*0.23</f>
        <v>55644.130000000005</v>
      </c>
    </row>
    <row r="299" spans="1:8" s="2" customFormat="1">
      <c r="A299" s="5"/>
      <c r="C299" s="12" t="s">
        <v>1129</v>
      </c>
      <c r="E299" s="20"/>
      <c r="G299" s="32">
        <f>SUM(G285:G298)-G293</f>
        <v>338457.87</v>
      </c>
      <c r="H299" s="32">
        <f>SUM(H285:H298)-H293</f>
        <v>297575.13</v>
      </c>
    </row>
    <row r="300" spans="1:8" s="2" customFormat="1">
      <c r="A300" s="5"/>
      <c r="C300" s="9" t="s">
        <v>2234</v>
      </c>
      <c r="D300" s="2">
        <v>110000</v>
      </c>
      <c r="E300" s="20" t="s">
        <v>480</v>
      </c>
      <c r="F300" s="2">
        <v>710000</v>
      </c>
      <c r="G300" s="32">
        <f>16765+80.18</f>
        <v>16845.18</v>
      </c>
      <c r="H300" s="32">
        <f>16765+80.18</f>
        <v>16845.18</v>
      </c>
    </row>
    <row r="301" spans="1:8" s="2" customFormat="1">
      <c r="A301" s="5"/>
      <c r="C301" s="12" t="s">
        <v>2235</v>
      </c>
      <c r="E301" s="20"/>
      <c r="G301" s="32">
        <f>G299+G300</f>
        <v>355303.05</v>
      </c>
      <c r="H301" s="32">
        <f>H299+H300</f>
        <v>314420.31</v>
      </c>
    </row>
    <row r="302" spans="1:8" s="2" customFormat="1">
      <c r="A302" s="5"/>
      <c r="C302" s="12"/>
      <c r="E302" s="20"/>
      <c r="G302" s="32"/>
      <c r="H302" s="32"/>
    </row>
    <row r="303" spans="1:8" s="2" customFormat="1">
      <c r="A303" s="6" t="s">
        <v>483</v>
      </c>
      <c r="B303" s="9" t="s">
        <v>2267</v>
      </c>
      <c r="E303" s="20"/>
      <c r="G303" s="32"/>
      <c r="H303" s="32"/>
    </row>
    <row r="304" spans="1:8" s="2" customFormat="1">
      <c r="A304" s="5"/>
      <c r="E304" s="20"/>
      <c r="G304" s="32"/>
      <c r="H304" s="32"/>
    </row>
    <row r="305" spans="1:8" s="2" customFormat="1">
      <c r="A305" s="5"/>
      <c r="C305" s="9" t="s">
        <v>1611</v>
      </c>
      <c r="D305" s="2">
        <v>110000</v>
      </c>
      <c r="E305" s="20" t="s">
        <v>483</v>
      </c>
      <c r="F305" s="2">
        <v>620000</v>
      </c>
      <c r="G305" s="32">
        <v>5000</v>
      </c>
      <c r="H305" s="32">
        <v>5000</v>
      </c>
    </row>
    <row r="306" spans="1:8" s="2" customFormat="1">
      <c r="A306" s="5"/>
      <c r="C306" s="9" t="s">
        <v>2951</v>
      </c>
      <c r="D306" s="2">
        <v>110000</v>
      </c>
      <c r="E306" s="20" t="s">
        <v>483</v>
      </c>
      <c r="F306" s="2">
        <v>630000</v>
      </c>
      <c r="G306" s="32">
        <v>300</v>
      </c>
      <c r="H306" s="32">
        <v>300</v>
      </c>
    </row>
    <row r="307" spans="1:8" s="2" customFormat="1">
      <c r="A307" s="5"/>
      <c r="C307" s="12" t="s">
        <v>1129</v>
      </c>
      <c r="E307" s="20"/>
      <c r="G307" s="32">
        <f>SUM(G305:G306)</f>
        <v>5300</v>
      </c>
      <c r="H307" s="32">
        <f>SUM(H305:H306)</f>
        <v>5300</v>
      </c>
    </row>
    <row r="308" spans="1:8" s="2" customFormat="1">
      <c r="A308" s="5"/>
      <c r="C308" s="2" t="s">
        <v>2234</v>
      </c>
      <c r="D308" s="2">
        <v>110000</v>
      </c>
      <c r="E308" s="20" t="s">
        <v>483</v>
      </c>
      <c r="F308" s="2">
        <v>710000</v>
      </c>
      <c r="G308" s="32">
        <f>40823</f>
        <v>40823</v>
      </c>
      <c r="H308" s="32">
        <f>40823</f>
        <v>40823</v>
      </c>
    </row>
    <row r="309" spans="1:8" s="2" customFormat="1">
      <c r="A309" s="5"/>
      <c r="C309" s="8" t="s">
        <v>2235</v>
      </c>
      <c r="E309" s="20"/>
      <c r="G309" s="32">
        <f>SUM(G307:G308)</f>
        <v>46123</v>
      </c>
      <c r="H309" s="32">
        <f>SUM(H307:H308)</f>
        <v>46123</v>
      </c>
    </row>
    <row r="310" spans="1:8" s="2" customFormat="1">
      <c r="A310" s="5"/>
      <c r="E310" s="20"/>
      <c r="G310" s="32"/>
      <c r="H310" s="32"/>
    </row>
    <row r="311" spans="1:8" s="2" customFormat="1">
      <c r="A311" s="6" t="s">
        <v>487</v>
      </c>
      <c r="B311" s="9" t="s">
        <v>1206</v>
      </c>
      <c r="E311" s="20"/>
      <c r="G311" s="32"/>
      <c r="H311" s="32"/>
    </row>
    <row r="312" spans="1:8" s="2" customFormat="1">
      <c r="A312" s="5"/>
      <c r="E312" s="20"/>
      <c r="G312" s="32"/>
      <c r="H312" s="32"/>
    </row>
    <row r="313" spans="1:8" s="2" customFormat="1">
      <c r="A313" s="5" t="s">
        <v>2307</v>
      </c>
      <c r="B313" s="9" t="s">
        <v>1207</v>
      </c>
      <c r="C313" s="9" t="s">
        <v>2806</v>
      </c>
      <c r="D313" s="2">
        <v>110000</v>
      </c>
      <c r="E313" s="20" t="s">
        <v>487</v>
      </c>
      <c r="F313" s="2">
        <v>610210</v>
      </c>
      <c r="G313" s="37">
        <f>39429+1884</f>
        <v>41313</v>
      </c>
      <c r="H313" s="37">
        <f>39429+1884</f>
        <v>41313</v>
      </c>
    </row>
    <row r="314" spans="1:8" s="2" customFormat="1">
      <c r="A314" s="5" t="s">
        <v>2308</v>
      </c>
      <c r="B314" s="9" t="s">
        <v>1208</v>
      </c>
      <c r="C314" s="9" t="s">
        <v>1019</v>
      </c>
      <c r="D314" s="2">
        <v>110000</v>
      </c>
      <c r="E314" s="20" t="s">
        <v>487</v>
      </c>
      <c r="F314" s="2">
        <v>610210</v>
      </c>
      <c r="G314" s="32">
        <f>25859+1501</f>
        <v>27360</v>
      </c>
      <c r="H314" s="32">
        <f>25859+1501</f>
        <v>27360</v>
      </c>
    </row>
    <row r="315" spans="1:8" s="2" customFormat="1">
      <c r="A315" s="5" t="s">
        <v>906</v>
      </c>
      <c r="B315" s="2" t="s">
        <v>1209</v>
      </c>
      <c r="C315" s="9" t="s">
        <v>1019</v>
      </c>
      <c r="E315" s="20"/>
      <c r="G315" s="32">
        <v>26868</v>
      </c>
      <c r="H315" s="32"/>
    </row>
    <row r="316" spans="1:8" s="2" customFormat="1">
      <c r="A316" s="5" t="s">
        <v>907</v>
      </c>
      <c r="B316" s="9" t="s">
        <v>1210</v>
      </c>
      <c r="C316" s="9" t="s">
        <v>1019</v>
      </c>
      <c r="D316" s="2">
        <v>110000</v>
      </c>
      <c r="E316" s="20" t="s">
        <v>487</v>
      </c>
      <c r="F316" s="2">
        <v>610210</v>
      </c>
      <c r="G316" s="32">
        <f>17619+493</f>
        <v>18112</v>
      </c>
      <c r="H316" s="32">
        <f>17619+493</f>
        <v>18112</v>
      </c>
    </row>
    <row r="317" spans="1:8" s="2" customFormat="1">
      <c r="A317" s="5"/>
      <c r="B317" s="9"/>
      <c r="C317" s="9"/>
      <c r="E317" s="20"/>
      <c r="G317" s="32">
        <v>11494</v>
      </c>
      <c r="H317" s="32"/>
    </row>
    <row r="318" spans="1:8" s="2" customFormat="1">
      <c r="A318" s="5"/>
      <c r="B318" s="9"/>
      <c r="C318" s="9"/>
      <c r="E318" s="9" t="s">
        <v>2880</v>
      </c>
      <c r="G318" s="32">
        <f>SUM(G316:G317)</f>
        <v>29606</v>
      </c>
      <c r="H318" s="32">
        <f>SUM(H316:H317)</f>
        <v>18112</v>
      </c>
    </row>
    <row r="319" spans="1:8" s="2" customFormat="1">
      <c r="A319" s="5" t="s">
        <v>908</v>
      </c>
      <c r="B319" s="9" t="s">
        <v>2849</v>
      </c>
      <c r="C319" s="9" t="s">
        <v>1019</v>
      </c>
      <c r="E319" s="20"/>
      <c r="G319" s="32">
        <v>32000</v>
      </c>
      <c r="H319" s="32"/>
    </row>
    <row r="320" spans="1:8" s="2" customFormat="1">
      <c r="A320" s="5" t="s">
        <v>909</v>
      </c>
      <c r="B320" s="9" t="s">
        <v>2850</v>
      </c>
      <c r="C320" s="9" t="s">
        <v>2884</v>
      </c>
      <c r="E320" s="20"/>
      <c r="G320" s="32">
        <v>16500</v>
      </c>
      <c r="H320" s="32"/>
    </row>
    <row r="321" spans="1:8" s="2" customFormat="1">
      <c r="A321" s="5" t="s">
        <v>2309</v>
      </c>
      <c r="B321" s="9" t="s">
        <v>1211</v>
      </c>
      <c r="C321" s="9" t="s">
        <v>2260</v>
      </c>
      <c r="D321" s="2">
        <v>110000</v>
      </c>
      <c r="E321" s="20" t="s">
        <v>487</v>
      </c>
      <c r="F321" s="2">
        <v>610210</v>
      </c>
      <c r="G321" s="32">
        <f>25059+702</f>
        <v>25761</v>
      </c>
      <c r="H321" s="32">
        <f>25059+702</f>
        <v>25761</v>
      </c>
    </row>
    <row r="322" spans="1:8" s="2" customFormat="1">
      <c r="A322" s="5" t="s">
        <v>2310</v>
      </c>
      <c r="B322" s="9" t="s">
        <v>2851</v>
      </c>
      <c r="C322" s="9" t="s">
        <v>2941</v>
      </c>
      <c r="D322" s="2">
        <v>110000</v>
      </c>
      <c r="E322" s="20" t="s">
        <v>487</v>
      </c>
      <c r="F322" s="2">
        <v>610410</v>
      </c>
      <c r="G322" s="32">
        <f>17694+495</f>
        <v>18189</v>
      </c>
      <c r="H322" s="32">
        <f>17694+495</f>
        <v>18189</v>
      </c>
    </row>
    <row r="323" spans="1:8" s="2" customFormat="1">
      <c r="A323" s="5" t="s">
        <v>2311</v>
      </c>
      <c r="B323" s="9" t="s">
        <v>257</v>
      </c>
      <c r="C323" s="9" t="s">
        <v>2884</v>
      </c>
      <c r="E323" s="20"/>
      <c r="G323" s="32">
        <v>12000</v>
      </c>
      <c r="H323" s="32"/>
    </row>
    <row r="324" spans="1:8" s="2" customFormat="1">
      <c r="A324" s="5" t="s">
        <v>2312</v>
      </c>
      <c r="B324" s="9" t="s">
        <v>2852</v>
      </c>
      <c r="C324" s="9" t="s">
        <v>1019</v>
      </c>
      <c r="D324" s="2">
        <v>110000</v>
      </c>
      <c r="E324" s="20" t="s">
        <v>487</v>
      </c>
      <c r="F324" s="2">
        <v>610210</v>
      </c>
      <c r="G324" s="32">
        <f>24000+672</f>
        <v>24672</v>
      </c>
      <c r="H324" s="32">
        <f>24000+672</f>
        <v>24672</v>
      </c>
    </row>
    <row r="325" spans="1:8" s="2" customFormat="1">
      <c r="A325" s="5"/>
      <c r="C325" s="9" t="s">
        <v>1611</v>
      </c>
      <c r="D325" s="2">
        <v>110000</v>
      </c>
      <c r="E325" s="20" t="s">
        <v>487</v>
      </c>
      <c r="F325" s="2">
        <v>620000</v>
      </c>
      <c r="G325" s="32">
        <v>20000</v>
      </c>
      <c r="H325" s="32">
        <v>20000</v>
      </c>
    </row>
    <row r="326" spans="1:8" s="2" customFormat="1">
      <c r="A326" s="5"/>
      <c r="C326" s="9" t="s">
        <v>2748</v>
      </c>
      <c r="D326" s="2">
        <v>110000</v>
      </c>
      <c r="E326" s="20" t="s">
        <v>487</v>
      </c>
      <c r="F326" s="2">
        <v>610510</v>
      </c>
      <c r="G326" s="32">
        <v>13600</v>
      </c>
      <c r="H326" s="32">
        <v>13600</v>
      </c>
    </row>
    <row r="327" spans="1:8" s="2" customFormat="1">
      <c r="A327" s="5"/>
      <c r="C327" s="9" t="s">
        <v>2950</v>
      </c>
      <c r="D327" s="2">
        <v>110000</v>
      </c>
      <c r="E327" s="20" t="s">
        <v>487</v>
      </c>
      <c r="F327" s="2">
        <v>610000</v>
      </c>
      <c r="G327" s="32"/>
      <c r="H327" s="32"/>
    </row>
    <row r="328" spans="1:8" s="2" customFormat="1">
      <c r="A328" s="5"/>
      <c r="C328" s="9" t="s">
        <v>2951</v>
      </c>
      <c r="D328" s="2">
        <v>110000</v>
      </c>
      <c r="E328" s="20" t="s">
        <v>487</v>
      </c>
      <c r="F328" s="2">
        <v>630000</v>
      </c>
      <c r="G328" s="32">
        <f>(SUM(G313:G323)-G318)*0.18+G325*0.08+G326*0.08</f>
        <v>44015.46</v>
      </c>
      <c r="H328" s="32">
        <f>(SUM(H313:H323)-H318)*0.18+H325*0.08+H326*0.08</f>
        <v>26220.3</v>
      </c>
    </row>
    <row r="329" spans="1:8" s="2" customFormat="1">
      <c r="A329" s="5"/>
      <c r="C329" s="12" t="s">
        <v>1129</v>
      </c>
      <c r="E329" s="20"/>
      <c r="G329" s="32">
        <f>SUM(G313:G328)-G318</f>
        <v>331884.46000000002</v>
      </c>
      <c r="H329" s="32">
        <f>SUM(H313:H328)-H318</f>
        <v>215227.3</v>
      </c>
    </row>
    <row r="330" spans="1:8" s="2" customFormat="1">
      <c r="A330" s="5"/>
      <c r="C330" s="9" t="s">
        <v>2234</v>
      </c>
      <c r="D330" s="2">
        <v>110000</v>
      </c>
      <c r="E330" s="20" t="s">
        <v>487</v>
      </c>
      <c r="F330" s="2">
        <v>710000</v>
      </c>
      <c r="G330" s="32">
        <v>13030</v>
      </c>
      <c r="H330" s="32">
        <v>13030</v>
      </c>
    </row>
    <row r="331" spans="1:8" s="2" customFormat="1">
      <c r="A331" s="5"/>
      <c r="C331" s="12" t="s">
        <v>2235</v>
      </c>
      <c r="E331" s="20"/>
      <c r="G331" s="32">
        <f>G329+G330</f>
        <v>344914.46</v>
      </c>
      <c r="H331" s="32">
        <f>H329+H330</f>
        <v>228257.3</v>
      </c>
    </row>
    <row r="332" spans="1:8" s="2" customFormat="1">
      <c r="A332" s="5"/>
      <c r="E332" s="20"/>
      <c r="G332" s="32"/>
      <c r="H332" s="32"/>
    </row>
    <row r="333" spans="1:8" s="2" customFormat="1">
      <c r="A333" s="6" t="s">
        <v>486</v>
      </c>
      <c r="B333" s="9" t="s">
        <v>772</v>
      </c>
      <c r="E333" s="20"/>
      <c r="G333" s="32"/>
      <c r="H333" s="32"/>
    </row>
    <row r="334" spans="1:8" s="2" customFormat="1">
      <c r="A334" s="5"/>
      <c r="E334" s="20"/>
      <c r="G334" s="32"/>
      <c r="H334" s="32"/>
    </row>
    <row r="335" spans="1:8" s="2" customFormat="1">
      <c r="A335" s="5" t="s">
        <v>2303</v>
      </c>
      <c r="B335" s="9" t="s">
        <v>2671</v>
      </c>
      <c r="C335" s="9" t="s">
        <v>2672</v>
      </c>
      <c r="D335" s="2">
        <v>110000</v>
      </c>
      <c r="E335" s="20" t="s">
        <v>486</v>
      </c>
      <c r="F335" s="2">
        <v>610210</v>
      </c>
      <c r="G335" s="32">
        <f>40355+1130</f>
        <v>41485</v>
      </c>
      <c r="H335" s="32">
        <f>40355+1130</f>
        <v>41485</v>
      </c>
    </row>
    <row r="336" spans="1:8" s="2" customFormat="1">
      <c r="A336" s="5" t="s">
        <v>2304</v>
      </c>
      <c r="B336" s="2" t="s">
        <v>2673</v>
      </c>
      <c r="C336" s="9" t="s">
        <v>2674</v>
      </c>
      <c r="D336" s="2">
        <v>110000</v>
      </c>
      <c r="E336" s="20" t="s">
        <v>486</v>
      </c>
      <c r="F336" s="2">
        <v>610210</v>
      </c>
      <c r="G336" s="32">
        <f>7422+208</f>
        <v>7630</v>
      </c>
      <c r="H336" s="32">
        <f>7422+208</f>
        <v>7630</v>
      </c>
    </row>
    <row r="337" spans="1:8" s="2" customFormat="1">
      <c r="A337" s="5" t="s">
        <v>2305</v>
      </c>
      <c r="B337" s="9" t="s">
        <v>2675</v>
      </c>
      <c r="C337" s="9" t="s">
        <v>2676</v>
      </c>
      <c r="D337" s="2">
        <v>110000</v>
      </c>
      <c r="E337" s="20" t="s">
        <v>486</v>
      </c>
      <c r="F337" s="2">
        <v>610410</v>
      </c>
      <c r="G337" s="32">
        <f>31301+876</f>
        <v>32177</v>
      </c>
      <c r="H337" s="32">
        <f>31301+876</f>
        <v>32177</v>
      </c>
    </row>
    <row r="338" spans="1:8" s="2" customFormat="1">
      <c r="A338" s="5" t="s">
        <v>2306</v>
      </c>
      <c r="B338" s="9" t="s">
        <v>1203</v>
      </c>
      <c r="C338" s="9" t="s">
        <v>1204</v>
      </c>
      <c r="D338" s="2">
        <v>110000</v>
      </c>
      <c r="E338" s="20" t="s">
        <v>486</v>
      </c>
      <c r="F338" s="2">
        <v>610410</v>
      </c>
      <c r="G338" s="32">
        <f>17947+503</f>
        <v>18450</v>
      </c>
      <c r="H338" s="32">
        <f>17947+503</f>
        <v>18450</v>
      </c>
    </row>
    <row r="339" spans="1:8" s="2" customFormat="1">
      <c r="A339" s="5"/>
      <c r="C339" s="9" t="s">
        <v>1611</v>
      </c>
      <c r="D339" s="2">
        <v>110000</v>
      </c>
      <c r="E339" s="20" t="s">
        <v>486</v>
      </c>
      <c r="F339" s="2">
        <v>620000</v>
      </c>
      <c r="G339" s="32">
        <v>2000</v>
      </c>
      <c r="H339" s="32">
        <v>2000</v>
      </c>
    </row>
    <row r="340" spans="1:8" s="2" customFormat="1">
      <c r="A340" s="5"/>
      <c r="C340" s="9" t="s">
        <v>2950</v>
      </c>
      <c r="D340" s="2">
        <v>110000</v>
      </c>
      <c r="E340" s="20" t="s">
        <v>486</v>
      </c>
      <c r="F340" s="2">
        <v>610000</v>
      </c>
      <c r="G340" s="32"/>
      <c r="H340" s="32"/>
    </row>
    <row r="341" spans="1:8" s="2" customFormat="1">
      <c r="A341" s="5"/>
      <c r="C341" s="9" t="s">
        <v>2951</v>
      </c>
      <c r="D341" s="2">
        <v>110000</v>
      </c>
      <c r="E341" s="20" t="s">
        <v>486</v>
      </c>
      <c r="F341" s="2">
        <v>630000</v>
      </c>
      <c r="G341" s="32">
        <f>SUM(G335:G340)*0.23</f>
        <v>23400.66</v>
      </c>
      <c r="H341" s="32">
        <f>SUM(H335:H340)*0.23</f>
        <v>23400.66</v>
      </c>
    </row>
    <row r="342" spans="1:8" s="2" customFormat="1">
      <c r="A342" s="5"/>
      <c r="C342" s="12" t="s">
        <v>1129</v>
      </c>
      <c r="E342" s="20"/>
      <c r="G342" s="32">
        <f>SUM(G335:G341)</f>
        <v>125142.66</v>
      </c>
      <c r="H342" s="32">
        <f>SUM(H335:H341)</f>
        <v>125142.66</v>
      </c>
    </row>
    <row r="343" spans="1:8" s="2" customFormat="1">
      <c r="A343" s="5"/>
      <c r="C343" s="9" t="s">
        <v>2234</v>
      </c>
      <c r="D343" s="2">
        <v>110000</v>
      </c>
      <c r="E343" s="20" t="s">
        <v>486</v>
      </c>
      <c r="F343" s="2">
        <v>710000</v>
      </c>
      <c r="G343" s="32">
        <v>7038</v>
      </c>
      <c r="H343" s="32">
        <v>7038</v>
      </c>
    </row>
    <row r="344" spans="1:8" s="2" customFormat="1">
      <c r="A344" s="5"/>
      <c r="C344" s="8" t="s">
        <v>2235</v>
      </c>
      <c r="E344" s="20"/>
      <c r="G344" s="32">
        <f>G342+G343</f>
        <v>132180.66</v>
      </c>
      <c r="H344" s="32">
        <f>H342+H343</f>
        <v>132180.66</v>
      </c>
    </row>
    <row r="345" spans="1:8" s="2" customFormat="1">
      <c r="A345" s="5"/>
      <c r="E345" s="20"/>
      <c r="G345" s="32"/>
      <c r="H345" s="32"/>
    </row>
    <row r="346" spans="1:8" s="2" customFormat="1">
      <c r="A346" s="6" t="s">
        <v>486</v>
      </c>
      <c r="B346" s="9" t="s">
        <v>1205</v>
      </c>
      <c r="E346" s="20"/>
      <c r="G346" s="32"/>
      <c r="H346" s="32"/>
    </row>
    <row r="347" spans="1:8" s="2" customFormat="1">
      <c r="A347" s="5"/>
      <c r="E347" s="20"/>
      <c r="G347" s="32"/>
      <c r="H347" s="32"/>
    </row>
    <row r="348" spans="1:8" s="2" customFormat="1">
      <c r="A348" s="5"/>
      <c r="C348" s="2" t="s">
        <v>2234</v>
      </c>
      <c r="D348" s="2">
        <v>110000</v>
      </c>
      <c r="E348" s="20" t="s">
        <v>486</v>
      </c>
      <c r="F348" s="2">
        <v>710000</v>
      </c>
      <c r="G348" s="32">
        <v>6336</v>
      </c>
      <c r="H348" s="32">
        <v>6336</v>
      </c>
    </row>
    <row r="349" spans="1:8" s="2" customFormat="1">
      <c r="A349" s="5"/>
      <c r="C349" s="8" t="s">
        <v>2235</v>
      </c>
      <c r="E349" s="20"/>
      <c r="G349" s="32">
        <f>G348</f>
        <v>6336</v>
      </c>
      <c r="H349" s="32">
        <v>6336</v>
      </c>
    </row>
    <row r="350" spans="1:8" s="2" customFormat="1">
      <c r="A350" s="5"/>
      <c r="E350" s="20"/>
      <c r="G350" s="32"/>
      <c r="H350" s="32"/>
    </row>
    <row r="351" spans="1:8" s="2" customFormat="1">
      <c r="A351" s="6" t="s">
        <v>484</v>
      </c>
      <c r="B351" s="9" t="s">
        <v>248</v>
      </c>
      <c r="E351" s="20"/>
      <c r="G351" s="32"/>
      <c r="H351" s="32"/>
    </row>
    <row r="352" spans="1:8" s="2" customFormat="1">
      <c r="A352" s="5"/>
      <c r="E352" s="20"/>
      <c r="G352" s="32"/>
      <c r="H352" s="32"/>
    </row>
    <row r="353" spans="1:8" s="2" customFormat="1">
      <c r="A353" s="5" t="s">
        <v>1095</v>
      </c>
      <c r="B353" s="9" t="s">
        <v>249</v>
      </c>
      <c r="C353" s="9" t="s">
        <v>2802</v>
      </c>
      <c r="D353" s="2">
        <v>110000</v>
      </c>
      <c r="E353" s="20" t="s">
        <v>484</v>
      </c>
      <c r="F353" s="2">
        <v>610210</v>
      </c>
      <c r="G353" s="32">
        <f>59220+1658</f>
        <v>60878</v>
      </c>
      <c r="H353" s="32">
        <f>59220+1658</f>
        <v>60878</v>
      </c>
    </row>
    <row r="354" spans="1:8" s="2" customFormat="1">
      <c r="A354" s="5" t="s">
        <v>1096</v>
      </c>
      <c r="B354" s="9" t="s">
        <v>2258</v>
      </c>
      <c r="C354" s="9" t="s">
        <v>1019</v>
      </c>
      <c r="D354" s="2">
        <v>110000</v>
      </c>
      <c r="E354" s="20" t="s">
        <v>484</v>
      </c>
      <c r="F354" s="2">
        <v>610210</v>
      </c>
      <c r="G354" s="32">
        <f>41579+1164</f>
        <v>42743</v>
      </c>
      <c r="H354" s="32">
        <f>41579+1164</f>
        <v>42743</v>
      </c>
    </row>
    <row r="355" spans="1:8" s="2" customFormat="1">
      <c r="A355" s="5" t="s">
        <v>1097</v>
      </c>
      <c r="B355" s="9" t="s">
        <v>2259</v>
      </c>
      <c r="C355" s="9" t="s">
        <v>2260</v>
      </c>
      <c r="D355" s="2">
        <v>110000</v>
      </c>
      <c r="E355" s="20" t="s">
        <v>484</v>
      </c>
      <c r="F355" s="2">
        <v>610210</v>
      </c>
      <c r="G355" s="32">
        <f>35530+995</f>
        <v>36525</v>
      </c>
      <c r="H355" s="32">
        <f>35530+995</f>
        <v>36525</v>
      </c>
    </row>
    <row r="356" spans="1:8" s="2" customFormat="1">
      <c r="A356" s="5" t="s">
        <v>1098</v>
      </c>
      <c r="B356" s="9" t="s">
        <v>2845</v>
      </c>
      <c r="C356" s="9" t="s">
        <v>2260</v>
      </c>
      <c r="D356" s="2">
        <v>110000</v>
      </c>
      <c r="E356" s="20" t="s">
        <v>484</v>
      </c>
      <c r="F356" s="2">
        <v>610210</v>
      </c>
      <c r="G356" s="32">
        <v>22281</v>
      </c>
      <c r="H356" s="32">
        <v>22281</v>
      </c>
    </row>
    <row r="357" spans="1:8" s="2" customFormat="1">
      <c r="A357" s="5" t="s">
        <v>1099</v>
      </c>
      <c r="B357" s="9" t="s">
        <v>2261</v>
      </c>
      <c r="C357" s="9" t="s">
        <v>2260</v>
      </c>
      <c r="D357" s="2">
        <v>110000</v>
      </c>
      <c r="E357" s="20" t="s">
        <v>484</v>
      </c>
      <c r="F357" s="2">
        <v>610210</v>
      </c>
      <c r="G357" s="32">
        <f>25230+706</f>
        <v>25936</v>
      </c>
      <c r="H357" s="32">
        <f>25230+706</f>
        <v>25936</v>
      </c>
    </row>
    <row r="358" spans="1:8" s="2" customFormat="1">
      <c r="A358" s="5" t="s">
        <v>1100</v>
      </c>
      <c r="B358" s="2" t="s">
        <v>2872</v>
      </c>
      <c r="C358" s="9" t="s">
        <v>2260</v>
      </c>
      <c r="D358" s="2">
        <v>110000</v>
      </c>
      <c r="E358" s="20" t="s">
        <v>484</v>
      </c>
      <c r="F358" s="2">
        <v>610210</v>
      </c>
      <c r="G358" s="32">
        <f>25796+722</f>
        <v>26518</v>
      </c>
      <c r="H358" s="32">
        <f>25796+722</f>
        <v>26518</v>
      </c>
    </row>
    <row r="359" spans="1:8" s="2" customFormat="1">
      <c r="A359" s="5" t="s">
        <v>1101</v>
      </c>
      <c r="B359" s="2" t="s">
        <v>2262</v>
      </c>
      <c r="C359" s="9" t="s">
        <v>1019</v>
      </c>
      <c r="D359" s="2">
        <v>110000</v>
      </c>
      <c r="E359" s="20" t="s">
        <v>484</v>
      </c>
      <c r="F359" s="2">
        <v>610210</v>
      </c>
      <c r="G359" s="32">
        <f>31560+884</f>
        <v>32444</v>
      </c>
      <c r="H359" s="32">
        <f>31560+884</f>
        <v>32444</v>
      </c>
    </row>
    <row r="360" spans="1:8" s="2" customFormat="1">
      <c r="A360" s="5" t="s">
        <v>1102</v>
      </c>
      <c r="B360" s="9" t="s">
        <v>2846</v>
      </c>
      <c r="C360" s="9" t="s">
        <v>1609</v>
      </c>
      <c r="D360" s="2">
        <v>110000</v>
      </c>
      <c r="E360" s="20" t="s">
        <v>484</v>
      </c>
      <c r="F360" s="2">
        <v>610410</v>
      </c>
      <c r="G360" s="32">
        <f>15799+442</f>
        <v>16241</v>
      </c>
      <c r="H360" s="32">
        <f>15799+442</f>
        <v>16241</v>
      </c>
    </row>
    <row r="361" spans="1:8" s="2" customFormat="1">
      <c r="A361" s="5" t="s">
        <v>1103</v>
      </c>
      <c r="B361" s="9" t="s">
        <v>2265</v>
      </c>
      <c r="C361" s="9" t="s">
        <v>1613</v>
      </c>
      <c r="D361" s="2">
        <v>110000</v>
      </c>
      <c r="E361" s="20" t="s">
        <v>484</v>
      </c>
      <c r="F361" s="2">
        <v>610410</v>
      </c>
      <c r="G361" s="32">
        <f>17924+502</f>
        <v>18426</v>
      </c>
      <c r="H361" s="32">
        <f>17924+502</f>
        <v>18426</v>
      </c>
    </row>
    <row r="362" spans="1:8" s="2" customFormat="1">
      <c r="A362" s="5"/>
      <c r="C362" s="9" t="s">
        <v>1611</v>
      </c>
      <c r="D362" s="2">
        <v>110000</v>
      </c>
      <c r="E362" s="20" t="s">
        <v>484</v>
      </c>
      <c r="F362" s="2">
        <v>620000</v>
      </c>
      <c r="G362" s="32">
        <v>820</v>
      </c>
      <c r="H362" s="32">
        <v>820</v>
      </c>
    </row>
    <row r="363" spans="1:8" s="2" customFormat="1">
      <c r="A363" s="5"/>
      <c r="C363" s="9" t="s">
        <v>2950</v>
      </c>
      <c r="D363" s="2">
        <v>110000</v>
      </c>
      <c r="E363" s="20" t="s">
        <v>484</v>
      </c>
      <c r="F363" s="2">
        <v>610000</v>
      </c>
      <c r="G363" s="32"/>
      <c r="H363" s="32"/>
    </row>
    <row r="364" spans="1:8" s="2" customFormat="1">
      <c r="A364" s="5"/>
      <c r="C364" s="9" t="s">
        <v>2951</v>
      </c>
      <c r="D364" s="2">
        <v>110000</v>
      </c>
      <c r="E364" s="20" t="s">
        <v>484</v>
      </c>
      <c r="F364" s="2">
        <v>630000</v>
      </c>
      <c r="G364" s="32">
        <f>SUM(G353:G363)*0.21</f>
        <v>59390.52</v>
      </c>
      <c r="H364" s="32">
        <f>SUM(H353:H363)*0.21</f>
        <v>59390.52</v>
      </c>
    </row>
    <row r="365" spans="1:8" s="2" customFormat="1">
      <c r="A365" s="5"/>
      <c r="C365" s="8" t="s">
        <v>1129</v>
      </c>
      <c r="E365" s="20"/>
      <c r="G365" s="32">
        <f>SUM(G353:G364)</f>
        <v>342202.52</v>
      </c>
      <c r="H365" s="32">
        <f>SUM(H353:H364)</f>
        <v>342202.52</v>
      </c>
    </row>
    <row r="366" spans="1:8" s="2" customFormat="1">
      <c r="A366" s="5"/>
      <c r="C366" s="9" t="s">
        <v>2234</v>
      </c>
      <c r="D366" s="2">
        <v>110000</v>
      </c>
      <c r="E366" s="20" t="s">
        <v>484</v>
      </c>
      <c r="F366" s="2">
        <v>710000</v>
      </c>
      <c r="G366" s="32">
        <v>20515</v>
      </c>
      <c r="H366" s="32">
        <v>20515</v>
      </c>
    </row>
    <row r="367" spans="1:8" s="2" customFormat="1">
      <c r="A367" s="5"/>
      <c r="C367" s="8" t="s">
        <v>2235</v>
      </c>
      <c r="E367" s="20"/>
      <c r="G367" s="32">
        <f>G365+G366</f>
        <v>362717.52</v>
      </c>
      <c r="H367" s="32">
        <f>H365+H366</f>
        <v>362717.52</v>
      </c>
    </row>
    <row r="368" spans="1:8" s="2" customFormat="1">
      <c r="A368" s="5"/>
      <c r="E368" s="20"/>
      <c r="G368" s="32"/>
      <c r="H368" s="32"/>
    </row>
    <row r="369" spans="1:8" s="2" customFormat="1">
      <c r="A369" s="15">
        <v>240200</v>
      </c>
      <c r="B369" s="2" t="s">
        <v>301</v>
      </c>
      <c r="D369" s="26"/>
      <c r="G369" s="32"/>
      <c r="H369" s="32"/>
    </row>
    <row r="370" spans="1:8" s="2" customFormat="1">
      <c r="D370" s="26"/>
      <c r="G370" s="32"/>
      <c r="H370" s="32"/>
    </row>
    <row r="371" spans="1:8" s="2" customFormat="1">
      <c r="A371" s="6" t="s">
        <v>190</v>
      </c>
      <c r="B371" s="2" t="s">
        <v>302</v>
      </c>
      <c r="C371" s="2" t="s">
        <v>1147</v>
      </c>
      <c r="D371" s="26">
        <v>110000</v>
      </c>
      <c r="E371" s="2">
        <v>240200</v>
      </c>
      <c r="F371" s="2">
        <v>610210</v>
      </c>
      <c r="G371" s="32">
        <f>39940+1118</f>
        <v>41058</v>
      </c>
      <c r="H371" s="32">
        <f>39940+1118</f>
        <v>41058</v>
      </c>
    </row>
    <row r="372" spans="1:8" s="2" customFormat="1">
      <c r="A372" s="6" t="s">
        <v>191</v>
      </c>
      <c r="B372" s="2" t="s">
        <v>303</v>
      </c>
      <c r="C372" s="2" t="s">
        <v>1148</v>
      </c>
      <c r="D372" s="26">
        <v>110000</v>
      </c>
      <c r="E372" s="2">
        <v>240200</v>
      </c>
      <c r="F372" s="2">
        <v>610210</v>
      </c>
      <c r="G372" s="32">
        <f>33050+925</f>
        <v>33975</v>
      </c>
      <c r="H372" s="32">
        <f>33050+925</f>
        <v>33975</v>
      </c>
    </row>
    <row r="373" spans="1:8" s="2" customFormat="1">
      <c r="A373" s="6" t="s">
        <v>192</v>
      </c>
      <c r="B373" s="2" t="s">
        <v>304</v>
      </c>
      <c r="C373" s="2" t="s">
        <v>1149</v>
      </c>
      <c r="D373" s="26">
        <v>110000</v>
      </c>
      <c r="E373" s="2">
        <v>240200</v>
      </c>
      <c r="F373" s="2">
        <v>610210</v>
      </c>
      <c r="G373" s="32">
        <f>32559+912</f>
        <v>33471</v>
      </c>
      <c r="H373" s="32">
        <f>32559+912</f>
        <v>33471</v>
      </c>
    </row>
    <row r="374" spans="1:8" s="2" customFormat="1">
      <c r="A374" s="6" t="s">
        <v>193</v>
      </c>
      <c r="B374" s="2" t="s">
        <v>156</v>
      </c>
      <c r="C374" s="2" t="s">
        <v>1609</v>
      </c>
      <c r="D374" s="26">
        <v>110000</v>
      </c>
      <c r="E374" s="2">
        <v>240200</v>
      </c>
      <c r="F374" s="2">
        <v>610410</v>
      </c>
      <c r="G374" s="32">
        <f>15595+437</f>
        <v>16032</v>
      </c>
      <c r="H374" s="32">
        <f>15595+437</f>
        <v>16032</v>
      </c>
    </row>
    <row r="375" spans="1:8" s="2" customFormat="1">
      <c r="A375" s="6" t="s">
        <v>305</v>
      </c>
      <c r="C375" s="2" t="s">
        <v>2950</v>
      </c>
      <c r="D375" s="26">
        <v>110000</v>
      </c>
      <c r="E375" s="2">
        <v>240200</v>
      </c>
      <c r="F375" s="2">
        <v>610000</v>
      </c>
      <c r="G375" s="32"/>
      <c r="H375" s="32"/>
    </row>
    <row r="376" spans="1:8" s="2" customFormat="1">
      <c r="C376" s="2" t="s">
        <v>2951</v>
      </c>
      <c r="D376" s="26">
        <v>110000</v>
      </c>
      <c r="E376" s="2">
        <v>240200</v>
      </c>
      <c r="F376" s="2">
        <v>630000</v>
      </c>
      <c r="G376" s="32">
        <f>SUM(G371:G375)*0.22</f>
        <v>27397.920000000002</v>
      </c>
      <c r="H376" s="32">
        <f>SUM(H371:H375)*0.22</f>
        <v>27397.920000000002</v>
      </c>
    </row>
    <row r="377" spans="1:8" s="2" customFormat="1">
      <c r="C377" s="8" t="s">
        <v>1129</v>
      </c>
      <c r="D377" s="26"/>
      <c r="G377" s="32">
        <f>SUM(G371:G376)</f>
        <v>151933.92000000001</v>
      </c>
      <c r="H377" s="32">
        <f>SUM(H371:H376)</f>
        <v>151933.92000000001</v>
      </c>
    </row>
    <row r="378" spans="1:8" s="2" customFormat="1">
      <c r="C378" s="2" t="s">
        <v>2234</v>
      </c>
      <c r="D378" s="26">
        <v>110000</v>
      </c>
      <c r="E378" s="2">
        <v>240200</v>
      </c>
      <c r="F378" s="2">
        <v>710000</v>
      </c>
      <c r="G378" s="32">
        <f>12230+2000</f>
        <v>14230</v>
      </c>
      <c r="H378" s="32">
        <f>12230+2000</f>
        <v>14230</v>
      </c>
    </row>
    <row r="379" spans="1:8" s="2" customFormat="1">
      <c r="C379" s="8" t="s">
        <v>2235</v>
      </c>
      <c r="D379" s="26"/>
      <c r="G379" s="32">
        <f>G377+G378</f>
        <v>166163.92000000001</v>
      </c>
      <c r="H379" s="32">
        <f>H377+H378</f>
        <v>166163.92000000001</v>
      </c>
    </row>
    <row r="380" spans="1:8" s="2" customFormat="1">
      <c r="D380" s="26"/>
      <c r="G380" s="32"/>
      <c r="H380" s="32"/>
    </row>
    <row r="381" spans="1:8" s="2" customFormat="1">
      <c r="A381" s="6" t="s">
        <v>481</v>
      </c>
      <c r="B381" s="2" t="s">
        <v>2929</v>
      </c>
      <c r="E381" s="20"/>
      <c r="G381" s="32"/>
      <c r="H381" s="32"/>
    </row>
    <row r="382" spans="1:8" s="2" customFormat="1">
      <c r="A382" s="5"/>
      <c r="E382" s="20"/>
      <c r="G382" s="32"/>
      <c r="H382" s="32"/>
    </row>
    <row r="383" spans="1:8" s="2" customFormat="1">
      <c r="A383" s="5" t="s">
        <v>1087</v>
      </c>
      <c r="B383" s="2" t="s">
        <v>1124</v>
      </c>
      <c r="C383" s="9" t="s">
        <v>2801</v>
      </c>
      <c r="D383" s="2">
        <v>110000</v>
      </c>
      <c r="E383" s="20" t="s">
        <v>481</v>
      </c>
      <c r="F383" s="2">
        <v>610210</v>
      </c>
      <c r="G383" s="32">
        <f>47244+1323</f>
        <v>48567</v>
      </c>
      <c r="H383" s="32">
        <f>47244+1323</f>
        <v>48567</v>
      </c>
    </row>
    <row r="384" spans="1:8" s="2" customFormat="1">
      <c r="A384" s="5" t="s">
        <v>1088</v>
      </c>
      <c r="B384" s="2" t="s">
        <v>1125</v>
      </c>
      <c r="C384" s="9" t="s">
        <v>1019</v>
      </c>
      <c r="D384" s="2">
        <v>110000</v>
      </c>
      <c r="E384" s="20" t="s">
        <v>481</v>
      </c>
      <c r="F384" s="2">
        <v>610210</v>
      </c>
      <c r="G384" s="32">
        <f>27827+779</f>
        <v>28606</v>
      </c>
      <c r="H384" s="32">
        <f>27827+779</f>
        <v>28606</v>
      </c>
    </row>
    <row r="385" spans="1:8" s="2" customFormat="1">
      <c r="A385" s="5" t="s">
        <v>1089</v>
      </c>
      <c r="B385" s="2" t="s">
        <v>1819</v>
      </c>
      <c r="C385" s="9" t="s">
        <v>1019</v>
      </c>
      <c r="D385" s="2">
        <v>110000</v>
      </c>
      <c r="E385" s="20" t="s">
        <v>481</v>
      </c>
      <c r="F385" s="2">
        <v>610210</v>
      </c>
      <c r="G385" s="32">
        <f>29036+813</f>
        <v>29849</v>
      </c>
      <c r="H385" s="32">
        <f>29036+813</f>
        <v>29849</v>
      </c>
    </row>
    <row r="386" spans="1:8" s="2" customFormat="1">
      <c r="A386" s="5" t="s">
        <v>1090</v>
      </c>
      <c r="B386" s="2" t="s">
        <v>2968</v>
      </c>
      <c r="C386" s="9" t="s">
        <v>1019</v>
      </c>
      <c r="D386" s="2">
        <v>110000</v>
      </c>
      <c r="E386" s="20" t="s">
        <v>481</v>
      </c>
      <c r="F386" s="2">
        <v>610210</v>
      </c>
      <c r="G386" s="32">
        <f>39830+1115</f>
        <v>40945</v>
      </c>
      <c r="H386" s="32">
        <f>39830+1115</f>
        <v>40945</v>
      </c>
    </row>
    <row r="387" spans="1:8" s="2" customFormat="1">
      <c r="A387" s="5" t="s">
        <v>1091</v>
      </c>
      <c r="B387" s="2" t="s">
        <v>2969</v>
      </c>
      <c r="C387" s="9" t="s">
        <v>1609</v>
      </c>
      <c r="D387" s="2">
        <v>110000</v>
      </c>
      <c r="E387" s="20" t="s">
        <v>481</v>
      </c>
      <c r="F387" s="2">
        <v>610410</v>
      </c>
      <c r="G387" s="32">
        <f>18548+519</f>
        <v>19067</v>
      </c>
      <c r="H387" s="32">
        <f>18548+519</f>
        <v>19067</v>
      </c>
    </row>
    <row r="388" spans="1:8" s="2" customFormat="1">
      <c r="A388" s="5"/>
      <c r="C388" s="9" t="s">
        <v>1611</v>
      </c>
      <c r="D388" s="2">
        <v>110000</v>
      </c>
      <c r="E388" s="20" t="s">
        <v>481</v>
      </c>
      <c r="F388" s="2">
        <v>620000</v>
      </c>
      <c r="G388" s="32"/>
      <c r="H388" s="32"/>
    </row>
    <row r="389" spans="1:8" s="2" customFormat="1">
      <c r="A389" s="5"/>
      <c r="C389" s="9" t="s">
        <v>2950</v>
      </c>
      <c r="D389" s="2">
        <v>110000</v>
      </c>
      <c r="E389" s="20" t="s">
        <v>481</v>
      </c>
      <c r="F389" s="2">
        <v>610000</v>
      </c>
      <c r="G389" s="32"/>
      <c r="H389" s="32"/>
    </row>
    <row r="390" spans="1:8" s="2" customFormat="1">
      <c r="A390" s="5"/>
      <c r="C390" s="9" t="s">
        <v>2951</v>
      </c>
      <c r="D390" s="2">
        <v>110000</v>
      </c>
      <c r="E390" s="20" t="s">
        <v>481</v>
      </c>
      <c r="F390" s="2">
        <v>630000</v>
      </c>
      <c r="G390" s="32">
        <f>SUM(G383:G389)*0.19</f>
        <v>31736.46</v>
      </c>
      <c r="H390" s="32">
        <f>SUM(H383:H389)*0.19</f>
        <v>31736.46</v>
      </c>
    </row>
    <row r="391" spans="1:8" s="2" customFormat="1">
      <c r="A391" s="5"/>
      <c r="C391" s="12" t="s">
        <v>1129</v>
      </c>
      <c r="E391" s="20"/>
      <c r="G391" s="32">
        <f>SUM(G383:G390)</f>
        <v>198770.46</v>
      </c>
      <c r="H391" s="32">
        <f>SUM(H383:H390)</f>
        <v>198770.46</v>
      </c>
    </row>
    <row r="392" spans="1:8" s="2" customFormat="1">
      <c r="A392" s="5"/>
      <c r="C392" s="9" t="s">
        <v>2234</v>
      </c>
      <c r="D392" s="2">
        <v>110000</v>
      </c>
      <c r="E392" s="20" t="s">
        <v>481</v>
      </c>
      <c r="F392" s="2">
        <v>710000</v>
      </c>
      <c r="G392" s="32">
        <v>13161</v>
      </c>
      <c r="H392" s="32">
        <v>13161</v>
      </c>
    </row>
    <row r="393" spans="1:8" s="2" customFormat="1">
      <c r="A393" s="5"/>
      <c r="C393" s="12" t="s">
        <v>2235</v>
      </c>
      <c r="E393" s="20"/>
      <c r="G393" s="32">
        <f>G391+G392</f>
        <v>211931.46</v>
      </c>
      <c r="H393" s="32">
        <f>H391+H392</f>
        <v>211931.46</v>
      </c>
    </row>
    <row r="394" spans="1:8" s="2" customFormat="1">
      <c r="A394" s="5"/>
      <c r="E394" s="20"/>
      <c r="G394" s="32"/>
      <c r="H394" s="32"/>
    </row>
    <row r="395" spans="1:8" s="2" customFormat="1">
      <c r="A395" s="15">
        <v>240400</v>
      </c>
      <c r="B395" s="2" t="s">
        <v>323</v>
      </c>
      <c r="D395" s="26"/>
      <c r="G395" s="32"/>
      <c r="H395" s="32"/>
    </row>
    <row r="396" spans="1:8" s="2" customFormat="1">
      <c r="D396" s="26"/>
      <c r="G396" s="32"/>
      <c r="H396" s="32"/>
    </row>
    <row r="397" spans="1:8" s="2" customFormat="1">
      <c r="A397" s="15" t="s">
        <v>188</v>
      </c>
      <c r="B397" s="2" t="s">
        <v>324</v>
      </c>
      <c r="C397" s="2" t="s">
        <v>1219</v>
      </c>
      <c r="D397" s="26">
        <v>110000</v>
      </c>
      <c r="E397" s="2">
        <v>240400</v>
      </c>
      <c r="F397" s="2">
        <v>610110</v>
      </c>
      <c r="G397" s="32">
        <f>30313+849</f>
        <v>31162</v>
      </c>
      <c r="H397" s="32">
        <f>30313+849</f>
        <v>31162</v>
      </c>
    </row>
    <row r="398" spans="1:8" s="2" customFormat="1">
      <c r="A398" s="15" t="s">
        <v>189</v>
      </c>
      <c r="B398" s="2" t="s">
        <v>297</v>
      </c>
      <c r="C398" s="2" t="s">
        <v>298</v>
      </c>
      <c r="D398" s="26">
        <v>110000</v>
      </c>
      <c r="E398" s="2">
        <v>240400</v>
      </c>
      <c r="F398" s="2">
        <v>610110</v>
      </c>
      <c r="G398" s="32">
        <f>24184+677</f>
        <v>24861</v>
      </c>
      <c r="H398" s="32">
        <f>24184+677</f>
        <v>24861</v>
      </c>
    </row>
    <row r="399" spans="1:8" s="2" customFormat="1">
      <c r="A399" s="15" t="s">
        <v>299</v>
      </c>
      <c r="C399" s="2" t="s">
        <v>1563</v>
      </c>
      <c r="D399" s="26">
        <v>110000</v>
      </c>
      <c r="E399" s="2">
        <v>240400</v>
      </c>
      <c r="F399" s="2">
        <v>610300</v>
      </c>
      <c r="G399" s="32">
        <v>19800</v>
      </c>
      <c r="H399" s="32">
        <v>19800</v>
      </c>
    </row>
    <row r="400" spans="1:8" s="2" customFormat="1">
      <c r="A400" s="15" t="s">
        <v>300</v>
      </c>
      <c r="C400" s="2" t="s">
        <v>2950</v>
      </c>
      <c r="D400" s="26">
        <v>110000</v>
      </c>
      <c r="E400" s="2">
        <v>240400</v>
      </c>
      <c r="F400" s="2">
        <v>610000</v>
      </c>
      <c r="G400" s="32"/>
      <c r="H400" s="32"/>
    </row>
    <row r="401" spans="1:8" s="2" customFormat="1">
      <c r="A401" s="15"/>
      <c r="C401" s="2" t="s">
        <v>2951</v>
      </c>
      <c r="D401" s="26">
        <v>110000</v>
      </c>
      <c r="E401" s="2">
        <v>240400</v>
      </c>
      <c r="F401" s="2">
        <v>630000</v>
      </c>
      <c r="G401" s="32">
        <f>SUM(G397:G399)*0.19</f>
        <v>14406.37</v>
      </c>
      <c r="H401" s="32">
        <f>SUM(H397:H399)*0.19</f>
        <v>14406.37</v>
      </c>
    </row>
    <row r="402" spans="1:8" s="2" customFormat="1">
      <c r="A402" s="15"/>
      <c r="C402" s="8" t="s">
        <v>1129</v>
      </c>
      <c r="D402" s="26"/>
      <c r="G402" s="32">
        <f>SUM(G397:G401)</f>
        <v>90229.37</v>
      </c>
      <c r="H402" s="32">
        <f>SUM(H397:H401)</f>
        <v>90229.37</v>
      </c>
    </row>
    <row r="403" spans="1:8" s="2" customFormat="1">
      <c r="C403" s="2" t="s">
        <v>2234</v>
      </c>
      <c r="D403" s="26">
        <v>110000</v>
      </c>
      <c r="E403" s="2">
        <v>240400</v>
      </c>
      <c r="F403" s="2">
        <v>710000</v>
      </c>
      <c r="G403" s="32">
        <v>5018</v>
      </c>
      <c r="H403" s="32">
        <v>5018</v>
      </c>
    </row>
    <row r="404" spans="1:8" s="2" customFormat="1">
      <c r="C404" s="8" t="s">
        <v>2235</v>
      </c>
      <c r="D404" s="26"/>
      <c r="G404" s="32">
        <f>G402+G403</f>
        <v>95247.37</v>
      </c>
      <c r="H404" s="32">
        <f>H402+H403</f>
        <v>95247.37</v>
      </c>
    </row>
    <row r="405" spans="1:8" s="2" customFormat="1">
      <c r="D405" s="26"/>
      <c r="G405" s="32"/>
      <c r="H405" s="32"/>
    </row>
    <row r="406" spans="1:8" s="2" customFormat="1">
      <c r="A406" s="6" t="s">
        <v>482</v>
      </c>
      <c r="B406" s="2" t="s">
        <v>2970</v>
      </c>
      <c r="E406" s="20"/>
      <c r="G406" s="32"/>
      <c r="H406" s="32"/>
    </row>
    <row r="407" spans="1:8" s="2" customFormat="1">
      <c r="A407" s="5"/>
      <c r="E407" s="20"/>
      <c r="G407" s="32"/>
      <c r="H407" s="32"/>
    </row>
    <row r="408" spans="1:8" s="2" customFormat="1">
      <c r="A408" s="5" t="s">
        <v>1092</v>
      </c>
      <c r="B408" s="9" t="s">
        <v>2971</v>
      </c>
      <c r="C408" s="9" t="s">
        <v>1020</v>
      </c>
      <c r="D408" s="2">
        <v>110000</v>
      </c>
      <c r="E408" s="20" t="s">
        <v>482</v>
      </c>
      <c r="F408" s="2">
        <v>610210</v>
      </c>
      <c r="G408" s="32">
        <f>34170+957</f>
        <v>35127</v>
      </c>
      <c r="H408" s="32">
        <f>34170+957</f>
        <v>35127</v>
      </c>
    </row>
    <row r="409" spans="1:8" s="2" customFormat="1">
      <c r="A409" s="5" t="s">
        <v>1093</v>
      </c>
      <c r="B409" s="2" t="s">
        <v>2263</v>
      </c>
      <c r="C409" s="9" t="s">
        <v>2884</v>
      </c>
      <c r="D409" s="2">
        <v>110000</v>
      </c>
      <c r="E409" s="20" t="s">
        <v>488</v>
      </c>
      <c r="F409" s="2">
        <v>610210</v>
      </c>
      <c r="G409" s="32">
        <f>25154+704</f>
        <v>25858</v>
      </c>
      <c r="H409" s="32"/>
    </row>
    <row r="410" spans="1:8" s="2" customFormat="1">
      <c r="A410" s="5" t="s">
        <v>1094</v>
      </c>
      <c r="B410" s="9" t="s">
        <v>2264</v>
      </c>
      <c r="C410" s="9" t="s">
        <v>1608</v>
      </c>
      <c r="D410" s="2">
        <v>110000</v>
      </c>
      <c r="E410" s="20" t="s">
        <v>482</v>
      </c>
      <c r="F410" s="2">
        <v>610210</v>
      </c>
      <c r="G410" s="32">
        <f>23809+1447</f>
        <v>25256</v>
      </c>
      <c r="H410" s="32">
        <f>23809+1447</f>
        <v>25256</v>
      </c>
    </row>
    <row r="411" spans="1:8" s="2" customFormat="1">
      <c r="A411" s="5"/>
      <c r="B411" s="9"/>
      <c r="C411" s="9" t="s">
        <v>1609</v>
      </c>
      <c r="D411" s="2">
        <v>110000</v>
      </c>
      <c r="E411" s="20" t="s">
        <v>482</v>
      </c>
      <c r="F411" s="2">
        <v>610410</v>
      </c>
      <c r="G411" s="32">
        <f>15799+233</f>
        <v>16032</v>
      </c>
      <c r="H411" s="32">
        <f>15799+233</f>
        <v>16032</v>
      </c>
    </row>
    <row r="412" spans="1:8" s="2" customFormat="1">
      <c r="A412" s="5"/>
      <c r="C412" s="9" t="s">
        <v>1611</v>
      </c>
      <c r="D412" s="2">
        <v>110000</v>
      </c>
      <c r="E412" s="20" t="s">
        <v>482</v>
      </c>
      <c r="F412" s="2">
        <v>620000</v>
      </c>
      <c r="G412" s="32">
        <v>500</v>
      </c>
      <c r="H412" s="32">
        <v>500</v>
      </c>
    </row>
    <row r="413" spans="1:8" s="2" customFormat="1">
      <c r="A413" s="5"/>
      <c r="C413" s="9" t="s">
        <v>2950</v>
      </c>
      <c r="D413" s="2">
        <v>110000</v>
      </c>
      <c r="E413" s="20" t="s">
        <v>482</v>
      </c>
      <c r="F413" s="2">
        <v>610000</v>
      </c>
      <c r="G413" s="36"/>
      <c r="H413" s="36"/>
    </row>
    <row r="414" spans="1:8" s="2" customFormat="1">
      <c r="A414" s="5"/>
      <c r="C414" s="9" t="s">
        <v>2951</v>
      </c>
      <c r="D414" s="2">
        <v>110000</v>
      </c>
      <c r="E414" s="20" t="s">
        <v>482</v>
      </c>
      <c r="F414" s="2">
        <v>630000</v>
      </c>
      <c r="G414" s="32">
        <f>SUM(G408:G413)*0.15-268</f>
        <v>15147.949999999999</v>
      </c>
      <c r="H414" s="32">
        <f>SUM(H408:H413)*0.15-268</f>
        <v>11269.25</v>
      </c>
    </row>
    <row r="415" spans="1:8" s="2" customFormat="1">
      <c r="A415" s="5"/>
      <c r="C415" s="12" t="s">
        <v>1129</v>
      </c>
      <c r="E415" s="20"/>
      <c r="G415" s="32">
        <f>SUM(G408:G414)</f>
        <v>117920.95</v>
      </c>
      <c r="H415" s="32">
        <f>SUM(H408:H414)</f>
        <v>88184.25</v>
      </c>
    </row>
    <row r="416" spans="1:8" s="2" customFormat="1">
      <c r="A416" s="5"/>
      <c r="C416" s="9" t="s">
        <v>2234</v>
      </c>
      <c r="D416" s="2">
        <v>110000</v>
      </c>
      <c r="E416" s="20" t="s">
        <v>482</v>
      </c>
      <c r="F416" s="2">
        <v>710000</v>
      </c>
      <c r="G416" s="32">
        <v>20452</v>
      </c>
      <c r="H416" s="32">
        <v>20452</v>
      </c>
    </row>
    <row r="417" spans="1:8" s="2" customFormat="1">
      <c r="A417" s="5"/>
      <c r="C417" s="12" t="s">
        <v>2235</v>
      </c>
      <c r="E417" s="20"/>
      <c r="G417" s="32">
        <f>G415+G416</f>
        <v>138372.95000000001</v>
      </c>
      <c r="H417" s="32">
        <f>H415+H416</f>
        <v>108636.25</v>
      </c>
    </row>
    <row r="418" spans="1:8" s="2" customFormat="1">
      <c r="A418" s="5"/>
      <c r="E418" s="20"/>
      <c r="G418" s="32"/>
      <c r="H418" s="32"/>
    </row>
    <row r="419" spans="1:8" s="2" customFormat="1">
      <c r="A419" s="6" t="s">
        <v>482</v>
      </c>
      <c r="B419" s="9" t="s">
        <v>2266</v>
      </c>
      <c r="E419" s="20"/>
      <c r="G419" s="32"/>
      <c r="H419" s="32"/>
    </row>
    <row r="420" spans="1:8" s="2" customFormat="1">
      <c r="A420" s="5"/>
      <c r="E420" s="20"/>
      <c r="G420" s="32"/>
      <c r="H420" s="32"/>
    </row>
    <row r="421" spans="1:8" s="2" customFormat="1">
      <c r="A421" s="5"/>
      <c r="C421" s="2" t="s">
        <v>2234</v>
      </c>
      <c r="D421" s="2">
        <v>110000</v>
      </c>
      <c r="E421" s="20" t="s">
        <v>482</v>
      </c>
      <c r="F421" s="2">
        <v>710000</v>
      </c>
      <c r="G421" s="32">
        <v>9789</v>
      </c>
      <c r="H421" s="32">
        <v>9789</v>
      </c>
    </row>
    <row r="422" spans="1:8" s="2" customFormat="1">
      <c r="A422" s="5"/>
      <c r="C422" s="8" t="s">
        <v>2235</v>
      </c>
      <c r="E422" s="20"/>
      <c r="G422" s="32">
        <f>G421</f>
        <v>9789</v>
      </c>
      <c r="H422" s="32">
        <f>H421</f>
        <v>9789</v>
      </c>
    </row>
    <row r="423" spans="1:8" s="2" customFormat="1">
      <c r="A423" s="5"/>
      <c r="E423" s="20"/>
      <c r="G423" s="32"/>
      <c r="H423" s="32"/>
    </row>
    <row r="424" spans="1:8" s="2" customFormat="1">
      <c r="A424" s="6" t="s">
        <v>3034</v>
      </c>
      <c r="B424" s="2" t="s">
        <v>2881</v>
      </c>
      <c r="E424" s="20"/>
      <c r="G424" s="32"/>
      <c r="H424" s="32"/>
    </row>
    <row r="425" spans="1:8" s="2" customFormat="1">
      <c r="A425" s="5"/>
      <c r="E425" s="20"/>
      <c r="G425" s="32"/>
      <c r="H425" s="32"/>
    </row>
    <row r="426" spans="1:8" s="2" customFormat="1">
      <c r="A426" s="5" t="s">
        <v>821</v>
      </c>
      <c r="B426" s="9" t="s">
        <v>2882</v>
      </c>
      <c r="C426" s="9" t="s">
        <v>2936</v>
      </c>
      <c r="D426" s="2">
        <v>110000</v>
      </c>
      <c r="E426" s="20">
        <v>310000</v>
      </c>
      <c r="F426" s="2">
        <v>610210</v>
      </c>
      <c r="G426" s="32">
        <f>94440+2660</f>
        <v>97100</v>
      </c>
      <c r="H426" s="32">
        <f>94440+2660</f>
        <v>97100</v>
      </c>
    </row>
    <row r="427" spans="1:8" s="2" customFormat="1">
      <c r="A427" s="5" t="s">
        <v>822</v>
      </c>
      <c r="B427" s="9" t="s">
        <v>2883</v>
      </c>
      <c r="C427" s="9" t="s">
        <v>2884</v>
      </c>
      <c r="D427" s="2">
        <v>110000</v>
      </c>
      <c r="E427" s="20">
        <v>310000</v>
      </c>
      <c r="F427" s="2">
        <v>610210</v>
      </c>
      <c r="G427" s="32">
        <f>33444+1274</f>
        <v>34718</v>
      </c>
      <c r="H427" s="32">
        <f>33444+1274</f>
        <v>34718</v>
      </c>
    </row>
    <row r="428" spans="1:8" s="2" customFormat="1">
      <c r="A428" s="5" t="s">
        <v>823</v>
      </c>
      <c r="B428" s="2" t="s">
        <v>2885</v>
      </c>
      <c r="C428" s="9" t="s">
        <v>2170</v>
      </c>
      <c r="D428" s="2">
        <v>110000</v>
      </c>
      <c r="E428" s="20">
        <v>310000</v>
      </c>
      <c r="F428" s="2">
        <v>610210</v>
      </c>
      <c r="G428" s="32">
        <f>43185+1339</f>
        <v>44524</v>
      </c>
      <c r="H428" s="32">
        <f>43185+1339</f>
        <v>44524</v>
      </c>
    </row>
    <row r="429" spans="1:8" s="2" customFormat="1">
      <c r="A429" s="5"/>
      <c r="C429" s="9" t="s">
        <v>1611</v>
      </c>
      <c r="D429" s="2">
        <v>110000</v>
      </c>
      <c r="E429" s="20">
        <v>310000</v>
      </c>
      <c r="F429" s="2">
        <v>620000</v>
      </c>
      <c r="G429" s="32">
        <v>2080</v>
      </c>
      <c r="H429" s="32">
        <f>G429</f>
        <v>2080</v>
      </c>
    </row>
    <row r="430" spans="1:8" s="2" customFormat="1">
      <c r="A430" s="5"/>
      <c r="C430" s="9" t="s">
        <v>2950</v>
      </c>
      <c r="D430" s="2">
        <v>110000</v>
      </c>
      <c r="E430" s="20">
        <v>310000</v>
      </c>
      <c r="F430" s="2">
        <v>610000</v>
      </c>
      <c r="G430" s="36"/>
      <c r="H430" s="36"/>
    </row>
    <row r="431" spans="1:8" s="2" customFormat="1">
      <c r="A431" s="5"/>
      <c r="C431" s="9" t="s">
        <v>2951</v>
      </c>
      <c r="D431" s="2">
        <v>110000</v>
      </c>
      <c r="E431" s="20">
        <v>310000</v>
      </c>
      <c r="F431" s="2">
        <v>630000</v>
      </c>
      <c r="G431" s="32">
        <f>(SUM(G426:G428)*0.2)+G429*0.08</f>
        <v>35434.800000000003</v>
      </c>
      <c r="H431" s="32">
        <f>(SUM(H426:H428)*0.2)+H429*0.08</f>
        <v>35434.800000000003</v>
      </c>
    </row>
    <row r="432" spans="1:8" s="2" customFormat="1">
      <c r="A432" s="5"/>
      <c r="C432" s="8" t="s">
        <v>1129</v>
      </c>
      <c r="E432" s="20"/>
      <c r="G432" s="32">
        <f>SUM(G426:G431)</f>
        <v>213856.8</v>
      </c>
      <c r="H432" s="32">
        <f>SUM(H426:H431)</f>
        <v>213856.8</v>
      </c>
    </row>
    <row r="433" spans="1:8" s="2" customFormat="1">
      <c r="A433" s="5"/>
      <c r="C433" s="2" t="s">
        <v>2234</v>
      </c>
      <c r="D433" s="2">
        <v>110000</v>
      </c>
      <c r="E433" s="20">
        <v>310000</v>
      </c>
      <c r="F433" s="2">
        <v>710000</v>
      </c>
      <c r="G433" s="32">
        <v>20378</v>
      </c>
      <c r="H433" s="32">
        <v>20378</v>
      </c>
    </row>
    <row r="434" spans="1:8" s="2" customFormat="1">
      <c r="A434" s="5"/>
      <c r="C434" s="8" t="s">
        <v>2235</v>
      </c>
      <c r="E434" s="20"/>
      <c r="G434" s="32">
        <f>G432+G433</f>
        <v>234234.8</v>
      </c>
      <c r="H434" s="32">
        <f>G434</f>
        <v>234234.8</v>
      </c>
    </row>
    <row r="435" spans="1:8" s="2" customFormat="1">
      <c r="A435" s="5"/>
      <c r="E435" s="20"/>
      <c r="G435" s="32"/>
      <c r="H435" s="32"/>
    </row>
    <row r="436" spans="1:8" s="2" customFormat="1">
      <c r="A436" s="6" t="s">
        <v>3034</v>
      </c>
      <c r="B436" s="2" t="s">
        <v>260</v>
      </c>
      <c r="D436" s="26"/>
      <c r="G436" s="32"/>
      <c r="H436" s="32"/>
    </row>
    <row r="437" spans="1:8" s="2" customFormat="1">
      <c r="A437" s="15"/>
      <c r="D437" s="26"/>
      <c r="G437" s="32"/>
      <c r="H437" s="32"/>
    </row>
    <row r="438" spans="1:8" s="2" customFormat="1">
      <c r="A438" s="15"/>
      <c r="C438" s="2" t="s">
        <v>2234</v>
      </c>
      <c r="D438" s="26">
        <v>110000</v>
      </c>
      <c r="E438" s="2">
        <v>310000</v>
      </c>
      <c r="F438" s="2">
        <v>710000</v>
      </c>
      <c r="G438" s="32">
        <f>113020-69000</f>
        <v>44020</v>
      </c>
      <c r="H438" s="32">
        <v>44020</v>
      </c>
    </row>
    <row r="439" spans="1:8" s="2" customFormat="1">
      <c r="A439" s="15"/>
      <c r="C439" s="8" t="s">
        <v>2235</v>
      </c>
      <c r="D439" s="26"/>
      <c r="G439" s="32">
        <f>G438</f>
        <v>44020</v>
      </c>
      <c r="H439" s="32">
        <f>H438</f>
        <v>44020</v>
      </c>
    </row>
    <row r="440" spans="1:8" s="2" customFormat="1">
      <c r="A440" s="15"/>
      <c r="D440" s="26"/>
      <c r="G440" s="32"/>
      <c r="H440" s="32"/>
    </row>
    <row r="441" spans="1:8" s="2" customFormat="1">
      <c r="A441" s="6" t="s">
        <v>2503</v>
      </c>
      <c r="B441" s="2" t="s">
        <v>1638</v>
      </c>
      <c r="E441" s="20"/>
      <c r="G441" s="32"/>
      <c r="H441" s="32"/>
    </row>
    <row r="442" spans="1:8" s="2" customFormat="1">
      <c r="A442" s="5"/>
      <c r="E442" s="20"/>
      <c r="G442" s="32"/>
      <c r="H442" s="32"/>
    </row>
    <row r="443" spans="1:8" s="2" customFormat="1">
      <c r="A443" s="5" t="s">
        <v>830</v>
      </c>
      <c r="B443" s="2" t="s">
        <v>1639</v>
      </c>
      <c r="C443" s="9" t="s">
        <v>1592</v>
      </c>
      <c r="D443" s="2">
        <v>110000</v>
      </c>
      <c r="E443" s="20">
        <v>320000</v>
      </c>
      <c r="F443" s="2">
        <v>610210</v>
      </c>
      <c r="G443" s="32">
        <f>80729+2704</f>
        <v>83433</v>
      </c>
      <c r="H443" s="32">
        <f>80729+2704</f>
        <v>83433</v>
      </c>
    </row>
    <row r="444" spans="1:8" s="2" customFormat="1">
      <c r="A444" s="5"/>
      <c r="C444" s="9" t="s">
        <v>1611</v>
      </c>
      <c r="D444" s="2">
        <v>110000</v>
      </c>
      <c r="E444" s="20">
        <v>320000</v>
      </c>
      <c r="F444" s="2">
        <v>620000</v>
      </c>
      <c r="G444" s="32"/>
      <c r="H444" s="32"/>
    </row>
    <row r="445" spans="1:8" s="2" customFormat="1">
      <c r="A445" s="5"/>
      <c r="C445" s="9" t="s">
        <v>2950</v>
      </c>
      <c r="D445" s="2">
        <v>110000</v>
      </c>
      <c r="E445" s="20">
        <v>320000</v>
      </c>
      <c r="F445" s="2">
        <v>610000</v>
      </c>
      <c r="G445" s="32"/>
      <c r="H445" s="32"/>
    </row>
    <row r="446" spans="1:8" s="2" customFormat="1">
      <c r="A446" s="5"/>
      <c r="C446" s="9" t="s">
        <v>2951</v>
      </c>
      <c r="D446" s="2">
        <v>110000</v>
      </c>
      <c r="E446" s="20">
        <v>320000</v>
      </c>
      <c r="F446" s="2">
        <v>630000</v>
      </c>
      <c r="G446" s="32">
        <f>SUM(G443:G445)*0.19</f>
        <v>15852.27</v>
      </c>
      <c r="H446" s="32">
        <f>SUM(H443:H445)*0.19</f>
        <v>15852.27</v>
      </c>
    </row>
    <row r="447" spans="1:8" s="2" customFormat="1">
      <c r="A447" s="5"/>
      <c r="C447" s="12" t="s">
        <v>1129</v>
      </c>
      <c r="E447" s="20"/>
      <c r="G447" s="32">
        <f>SUM(G443:G446)</f>
        <v>99285.27</v>
      </c>
      <c r="H447" s="32">
        <f>SUM(H443:H446)</f>
        <v>99285.27</v>
      </c>
    </row>
    <row r="448" spans="1:8" s="2" customFormat="1">
      <c r="A448" s="5"/>
      <c r="C448" s="9" t="s">
        <v>2234</v>
      </c>
      <c r="D448" s="2">
        <v>110000</v>
      </c>
      <c r="E448" s="20">
        <v>320000</v>
      </c>
      <c r="F448" s="2">
        <v>710000</v>
      </c>
      <c r="G448" s="32">
        <v>1700</v>
      </c>
      <c r="H448" s="32">
        <v>1700</v>
      </c>
    </row>
    <row r="449" spans="1:8" s="2" customFormat="1">
      <c r="A449" s="5"/>
      <c r="C449" s="12" t="s">
        <v>2235</v>
      </c>
      <c r="E449" s="20"/>
      <c r="G449" s="32">
        <f>G447+G448</f>
        <v>100985.27</v>
      </c>
      <c r="H449" s="32">
        <f>H447+H448</f>
        <v>100985.27</v>
      </c>
    </row>
    <row r="450" spans="1:8" s="2" customFormat="1">
      <c r="A450" s="5"/>
      <c r="E450" s="20"/>
      <c r="G450" s="32"/>
      <c r="H450" s="32"/>
    </row>
    <row r="451" spans="1:8" s="2" customFormat="1">
      <c r="A451" s="6" t="s">
        <v>2503</v>
      </c>
      <c r="B451" s="2" t="s">
        <v>261</v>
      </c>
      <c r="D451" s="26"/>
      <c r="G451" s="32"/>
      <c r="H451" s="32"/>
    </row>
    <row r="452" spans="1:8" s="2" customFormat="1">
      <c r="A452" s="15"/>
      <c r="D452" s="26"/>
      <c r="G452" s="32"/>
      <c r="H452" s="32"/>
    </row>
    <row r="453" spans="1:8" s="2" customFormat="1">
      <c r="A453" s="8"/>
      <c r="C453" s="2" t="s">
        <v>262</v>
      </c>
      <c r="D453" s="26">
        <v>110000</v>
      </c>
      <c r="E453" s="2">
        <v>320000</v>
      </c>
      <c r="F453" s="2">
        <v>710000</v>
      </c>
      <c r="G453" s="32">
        <v>40000</v>
      </c>
      <c r="H453" s="32">
        <v>40000</v>
      </c>
    </row>
    <row r="454" spans="1:8" s="2" customFormat="1">
      <c r="A454" s="8"/>
      <c r="C454" s="2" t="s">
        <v>263</v>
      </c>
      <c r="D454" s="26">
        <v>110000</v>
      </c>
      <c r="E454" s="2">
        <v>320000</v>
      </c>
      <c r="F454" s="2">
        <v>710000</v>
      </c>
      <c r="G454" s="32">
        <v>75000</v>
      </c>
      <c r="H454" s="32">
        <v>75000</v>
      </c>
    </row>
    <row r="455" spans="1:8" s="2" customFormat="1">
      <c r="A455" s="15"/>
      <c r="C455" s="8" t="s">
        <v>2235</v>
      </c>
      <c r="D455" s="26"/>
      <c r="G455" s="32">
        <f>G453+G454</f>
        <v>115000</v>
      </c>
      <c r="H455" s="32">
        <f>H453+H454</f>
        <v>115000</v>
      </c>
    </row>
    <row r="456" spans="1:8" s="2" customFormat="1">
      <c r="A456" s="15"/>
      <c r="D456" s="26"/>
      <c r="G456" s="32"/>
      <c r="H456" s="32"/>
    </row>
    <row r="457" spans="1:8" s="2" customFormat="1">
      <c r="A457" s="6" t="s">
        <v>2503</v>
      </c>
      <c r="B457" s="2" t="s">
        <v>271</v>
      </c>
      <c r="D457" s="26"/>
      <c r="G457" s="32"/>
      <c r="H457" s="32"/>
    </row>
    <row r="458" spans="1:8" s="2" customFormat="1">
      <c r="A458" s="15"/>
      <c r="D458" s="26"/>
      <c r="G458" s="32"/>
      <c r="H458" s="32"/>
    </row>
    <row r="459" spans="1:8" s="2" customFormat="1">
      <c r="A459" s="15"/>
      <c r="C459" s="2" t="s">
        <v>2234</v>
      </c>
      <c r="D459" s="26">
        <v>110000</v>
      </c>
      <c r="E459" s="2">
        <v>320000</v>
      </c>
      <c r="F459" s="2">
        <v>710000</v>
      </c>
      <c r="G459" s="32">
        <v>155000</v>
      </c>
      <c r="H459" s="32">
        <v>155000</v>
      </c>
    </row>
    <row r="460" spans="1:8" s="2" customFormat="1">
      <c r="A460" s="15"/>
      <c r="C460" s="8" t="s">
        <v>2235</v>
      </c>
      <c r="D460" s="26"/>
      <c r="G460" s="32">
        <f>G459</f>
        <v>155000</v>
      </c>
      <c r="H460" s="32">
        <f>H459</f>
        <v>155000</v>
      </c>
    </row>
    <row r="461" spans="1:8" s="2" customFormat="1">
      <c r="A461" s="15"/>
      <c r="D461" s="26"/>
      <c r="G461" s="32"/>
      <c r="H461" s="32"/>
    </row>
    <row r="462" spans="1:8" s="2" customFormat="1">
      <c r="A462" s="6" t="s">
        <v>2503</v>
      </c>
      <c r="B462" s="2" t="s">
        <v>2457</v>
      </c>
      <c r="D462" s="26"/>
      <c r="G462" s="32"/>
      <c r="H462" s="32"/>
    </row>
    <row r="463" spans="1:8" s="2" customFormat="1">
      <c r="A463" s="6"/>
      <c r="D463" s="26"/>
      <c r="G463" s="32"/>
      <c r="H463" s="32"/>
    </row>
    <row r="464" spans="1:8" s="2" customFormat="1">
      <c r="A464" s="20"/>
      <c r="C464" s="2" t="s">
        <v>2791</v>
      </c>
      <c r="D464" s="26">
        <v>110000</v>
      </c>
      <c r="E464" s="2">
        <v>320000</v>
      </c>
      <c r="F464" s="2">
        <v>820000</v>
      </c>
      <c r="G464" s="32">
        <f>80000-50000</f>
        <v>30000</v>
      </c>
      <c r="H464" s="32">
        <v>30000</v>
      </c>
    </row>
    <row r="465" spans="1:8" s="2" customFormat="1">
      <c r="A465" s="20"/>
      <c r="C465" s="8" t="s">
        <v>2235</v>
      </c>
      <c r="D465" s="26"/>
      <c r="G465" s="32">
        <f>+G464</f>
        <v>30000</v>
      </c>
      <c r="H465" s="32">
        <f>+H464</f>
        <v>30000</v>
      </c>
    </row>
    <row r="467" spans="1:8" s="2" customFormat="1">
      <c r="A467" s="6" t="s">
        <v>467</v>
      </c>
      <c r="B467" s="9" t="s">
        <v>2141</v>
      </c>
      <c r="E467" s="20"/>
      <c r="G467" s="32"/>
      <c r="H467" s="32"/>
    </row>
    <row r="468" spans="1:8" s="2" customFormat="1">
      <c r="A468" s="5"/>
      <c r="E468" s="20"/>
      <c r="G468" s="32"/>
      <c r="H468" s="32"/>
    </row>
    <row r="469" spans="1:8" s="2" customFormat="1">
      <c r="A469" s="5" t="s">
        <v>330</v>
      </c>
      <c r="B469" s="9" t="s">
        <v>2142</v>
      </c>
      <c r="C469" s="9" t="s">
        <v>1006</v>
      </c>
      <c r="D469" s="2">
        <v>110000</v>
      </c>
      <c r="E469" s="20" t="s">
        <v>467</v>
      </c>
      <c r="F469" s="2">
        <v>610210</v>
      </c>
      <c r="G469" s="32">
        <f>61352+1749</f>
        <v>63101</v>
      </c>
      <c r="H469" s="32">
        <f>61352+1749</f>
        <v>63101</v>
      </c>
    </row>
    <row r="470" spans="1:8" s="2" customFormat="1">
      <c r="A470" s="5" t="s">
        <v>331</v>
      </c>
      <c r="B470" s="9" t="s">
        <v>1166</v>
      </c>
      <c r="C470" s="9" t="s">
        <v>1007</v>
      </c>
      <c r="D470" s="2">
        <v>110000</v>
      </c>
      <c r="E470" s="20" t="s">
        <v>467</v>
      </c>
      <c r="F470" s="2">
        <v>610210</v>
      </c>
      <c r="G470" s="32">
        <f>31550+899</f>
        <v>32449</v>
      </c>
      <c r="H470" s="32">
        <f>31550+899</f>
        <v>32449</v>
      </c>
    </row>
    <row r="471" spans="1:8" s="2" customFormat="1">
      <c r="A471" s="5" t="s">
        <v>332</v>
      </c>
      <c r="B471" s="9" t="s">
        <v>2143</v>
      </c>
      <c r="C471" s="9" t="s">
        <v>2938</v>
      </c>
      <c r="D471" s="2">
        <v>110000</v>
      </c>
      <c r="E471" s="20" t="s">
        <v>467</v>
      </c>
      <c r="F471" s="2">
        <v>610410</v>
      </c>
      <c r="G471" s="32">
        <f>32269+904</f>
        <v>33173</v>
      </c>
      <c r="H471" s="32">
        <f>32269+904</f>
        <v>33173</v>
      </c>
    </row>
    <row r="472" spans="1:8" s="2" customFormat="1">
      <c r="A472" s="5" t="s">
        <v>333</v>
      </c>
      <c r="B472" s="9" t="s">
        <v>11</v>
      </c>
      <c r="C472" s="9" t="s">
        <v>2939</v>
      </c>
      <c r="D472" s="2">
        <v>110000</v>
      </c>
      <c r="E472" s="20" t="s">
        <v>467</v>
      </c>
      <c r="F472" s="2">
        <v>610410</v>
      </c>
      <c r="G472" s="32">
        <f>30812+863</f>
        <v>31675</v>
      </c>
      <c r="H472" s="32">
        <f>30812+863</f>
        <v>31675</v>
      </c>
    </row>
    <row r="473" spans="1:8" s="2" customFormat="1">
      <c r="A473" s="5" t="s">
        <v>334</v>
      </c>
      <c r="B473" s="9" t="s">
        <v>12</v>
      </c>
      <c r="C473" s="9" t="s">
        <v>2939</v>
      </c>
      <c r="D473" s="2">
        <v>110000</v>
      </c>
      <c r="E473" s="20" t="s">
        <v>467</v>
      </c>
      <c r="F473" s="2">
        <v>610410</v>
      </c>
      <c r="G473" s="32">
        <f>35370+990</f>
        <v>36360</v>
      </c>
      <c r="H473" s="32">
        <f>35370+990</f>
        <v>36360</v>
      </c>
    </row>
    <row r="474" spans="1:8" s="2" customFormat="1">
      <c r="A474" s="5" t="s">
        <v>335</v>
      </c>
      <c r="B474" s="9" t="s">
        <v>13</v>
      </c>
      <c r="C474" s="9" t="s">
        <v>2940</v>
      </c>
      <c r="D474" s="2">
        <v>110000</v>
      </c>
      <c r="E474" s="20" t="s">
        <v>467</v>
      </c>
      <c r="F474" s="2">
        <v>610410</v>
      </c>
      <c r="G474" s="32">
        <f>21645+606</f>
        <v>22251</v>
      </c>
      <c r="H474" s="32">
        <f>21645+606</f>
        <v>22251</v>
      </c>
    </row>
    <row r="475" spans="1:8" s="2" customFormat="1">
      <c r="A475" s="5" t="s">
        <v>336</v>
      </c>
      <c r="B475" s="9" t="s">
        <v>2868</v>
      </c>
      <c r="C475" s="9" t="s">
        <v>2884</v>
      </c>
      <c r="D475" s="2">
        <v>110000</v>
      </c>
      <c r="E475" s="20" t="s">
        <v>467</v>
      </c>
      <c r="F475" s="2">
        <v>610210</v>
      </c>
      <c r="G475" s="32">
        <f>24762+768</f>
        <v>25530</v>
      </c>
      <c r="H475" s="32">
        <f>24762+768</f>
        <v>25530</v>
      </c>
    </row>
    <row r="476" spans="1:8" s="2" customFormat="1">
      <c r="A476" s="5" t="s">
        <v>337</v>
      </c>
      <c r="B476" s="9" t="s">
        <v>14</v>
      </c>
      <c r="C476" s="9" t="s">
        <v>1609</v>
      </c>
      <c r="D476" s="2">
        <v>110000</v>
      </c>
      <c r="E476" s="20" t="s">
        <v>467</v>
      </c>
      <c r="F476" s="2">
        <v>610410</v>
      </c>
      <c r="G476" s="32">
        <f>24733+693</f>
        <v>25426</v>
      </c>
      <c r="H476" s="32">
        <f>24733+693</f>
        <v>25426</v>
      </c>
    </row>
    <row r="477" spans="1:8" s="2" customFormat="1">
      <c r="A477" s="5"/>
      <c r="C477" s="9" t="s">
        <v>1611</v>
      </c>
      <c r="D477" s="2">
        <v>110000</v>
      </c>
      <c r="E477" s="20" t="s">
        <v>467</v>
      </c>
      <c r="F477" s="2">
        <v>620000</v>
      </c>
      <c r="G477" s="32">
        <v>1500</v>
      </c>
      <c r="H477" s="32">
        <v>1500</v>
      </c>
    </row>
    <row r="478" spans="1:8" s="2" customFormat="1">
      <c r="A478" s="6"/>
      <c r="C478" s="9" t="s">
        <v>2950</v>
      </c>
      <c r="D478" s="2">
        <v>110000</v>
      </c>
      <c r="E478" s="20" t="s">
        <v>467</v>
      </c>
      <c r="F478" s="2">
        <v>610000</v>
      </c>
      <c r="G478" s="32"/>
      <c r="H478" s="32"/>
    </row>
    <row r="479" spans="1:8" s="2" customFormat="1">
      <c r="A479" s="5"/>
      <c r="C479" s="9" t="s">
        <v>2951</v>
      </c>
      <c r="D479" s="2">
        <v>110000</v>
      </c>
      <c r="E479" s="20" t="s">
        <v>467</v>
      </c>
      <c r="F479" s="2">
        <v>630000</v>
      </c>
      <c r="G479" s="32">
        <f>(SUM(G469:G478))*0.21</f>
        <v>57007.65</v>
      </c>
      <c r="H479" s="32">
        <f>(SUM(H469:H478))*0.21</f>
        <v>57007.65</v>
      </c>
    </row>
    <row r="480" spans="1:8" s="2" customFormat="1">
      <c r="A480" s="5"/>
      <c r="C480" s="8" t="s">
        <v>1129</v>
      </c>
      <c r="E480" s="20"/>
      <c r="G480" s="32">
        <f>SUM(G469:G479)</f>
        <v>328472.65000000002</v>
      </c>
      <c r="H480" s="32">
        <f>SUM(H469:H479)</f>
        <v>328472.65000000002</v>
      </c>
    </row>
    <row r="481" spans="1:8" s="2" customFormat="1">
      <c r="A481" s="5"/>
      <c r="C481" s="2" t="s">
        <v>2234</v>
      </c>
      <c r="D481" s="2">
        <v>110000</v>
      </c>
      <c r="E481" s="20" t="s">
        <v>467</v>
      </c>
      <c r="F481" s="2">
        <v>710000</v>
      </c>
      <c r="G481" s="32">
        <f>26209+48.04</f>
        <v>26257.040000000001</v>
      </c>
      <c r="H481" s="32">
        <f>26209+48.04</f>
        <v>26257.040000000001</v>
      </c>
    </row>
    <row r="482" spans="1:8" s="2" customFormat="1">
      <c r="A482" s="5"/>
      <c r="C482" s="8" t="s">
        <v>2235</v>
      </c>
      <c r="E482" s="20"/>
      <c r="G482" s="32">
        <f>G480+G481</f>
        <v>354729.69</v>
      </c>
      <c r="H482" s="32">
        <f>H480+H481</f>
        <v>354729.69</v>
      </c>
    </row>
    <row r="483" spans="1:8" s="2" customFormat="1">
      <c r="A483" s="5"/>
      <c r="E483" s="20"/>
      <c r="G483" s="32"/>
      <c r="H483" s="32"/>
    </row>
    <row r="484" spans="1:8" s="2" customFormat="1">
      <c r="A484" s="6" t="s">
        <v>472</v>
      </c>
      <c r="B484" s="2" t="s">
        <v>980</v>
      </c>
      <c r="E484" s="20"/>
      <c r="G484" s="32"/>
      <c r="H484" s="32"/>
    </row>
    <row r="485" spans="1:8" s="2" customFormat="1">
      <c r="A485" s="5"/>
      <c r="E485" s="20"/>
      <c r="G485" s="32"/>
      <c r="H485" s="32"/>
    </row>
    <row r="486" spans="1:8" s="2" customFormat="1">
      <c r="A486" s="5" t="s">
        <v>384</v>
      </c>
      <c r="B486" s="2" t="s">
        <v>20</v>
      </c>
      <c r="C486" s="9" t="s">
        <v>2884</v>
      </c>
      <c r="D486" s="2">
        <v>110000</v>
      </c>
      <c r="E486" s="20" t="s">
        <v>472</v>
      </c>
      <c r="F486" s="2">
        <v>610210</v>
      </c>
      <c r="G486" s="32">
        <f>26200+613</f>
        <v>26813</v>
      </c>
      <c r="H486" s="32">
        <f>26200+613</f>
        <v>26813</v>
      </c>
    </row>
    <row r="487" spans="1:8" s="2" customFormat="1">
      <c r="A487" s="5" t="s">
        <v>385</v>
      </c>
      <c r="B487" s="2" t="s">
        <v>982</v>
      </c>
      <c r="C487" s="9" t="s">
        <v>983</v>
      </c>
      <c r="D487" s="2">
        <v>110000</v>
      </c>
      <c r="E487" s="20" t="s">
        <v>472</v>
      </c>
      <c r="F487" s="2">
        <v>610410</v>
      </c>
      <c r="G487" s="32">
        <f>24313+681</f>
        <v>24994</v>
      </c>
      <c r="H487" s="32">
        <f>24313+681</f>
        <v>24994</v>
      </c>
    </row>
    <row r="488" spans="1:8" s="2" customFormat="1">
      <c r="A488" s="5" t="s">
        <v>386</v>
      </c>
      <c r="B488" s="2" t="s">
        <v>1136</v>
      </c>
      <c r="C488" s="9" t="s">
        <v>984</v>
      </c>
      <c r="D488" s="2">
        <v>110000</v>
      </c>
      <c r="E488" s="20" t="s">
        <v>472</v>
      </c>
      <c r="F488" s="2">
        <v>610410</v>
      </c>
      <c r="G488" s="32">
        <f>17694+495</f>
        <v>18189</v>
      </c>
      <c r="H488" s="32">
        <f>17694+495</f>
        <v>18189</v>
      </c>
    </row>
    <row r="489" spans="1:8" s="2" customFormat="1">
      <c r="A489" s="5" t="s">
        <v>387</v>
      </c>
      <c r="B489" s="2" t="s">
        <v>1137</v>
      </c>
      <c r="C489" s="9" t="s">
        <v>985</v>
      </c>
      <c r="D489" s="2">
        <v>110000</v>
      </c>
      <c r="E489" s="20" t="s">
        <v>472</v>
      </c>
      <c r="F489" s="2">
        <v>610410</v>
      </c>
      <c r="G489" s="32">
        <f t="shared" ref="G489:H491" si="0">12284+344</f>
        <v>12628</v>
      </c>
      <c r="H489" s="32">
        <f t="shared" si="0"/>
        <v>12628</v>
      </c>
    </row>
    <row r="490" spans="1:8" s="2" customFormat="1">
      <c r="A490" s="5" t="s">
        <v>388</v>
      </c>
      <c r="B490" s="2" t="s">
        <v>1138</v>
      </c>
      <c r="C490" s="9" t="s">
        <v>985</v>
      </c>
      <c r="D490" s="2">
        <v>110000</v>
      </c>
      <c r="E490" s="20" t="s">
        <v>472</v>
      </c>
      <c r="F490" s="2">
        <v>610410</v>
      </c>
      <c r="G490" s="32">
        <f t="shared" si="0"/>
        <v>12628</v>
      </c>
      <c r="H490" s="32">
        <f t="shared" si="0"/>
        <v>12628</v>
      </c>
    </row>
    <row r="491" spans="1:8" s="2" customFormat="1">
      <c r="A491" s="5" t="s">
        <v>389</v>
      </c>
      <c r="B491" s="2" t="s">
        <v>779</v>
      </c>
      <c r="C491" s="9" t="s">
        <v>985</v>
      </c>
      <c r="D491" s="2">
        <v>110000</v>
      </c>
      <c r="E491" s="20" t="s">
        <v>472</v>
      </c>
      <c r="F491" s="2">
        <v>610410</v>
      </c>
      <c r="G491" s="32">
        <f t="shared" si="0"/>
        <v>12628</v>
      </c>
      <c r="H491" s="32">
        <f t="shared" si="0"/>
        <v>12628</v>
      </c>
    </row>
    <row r="492" spans="1:8" s="2" customFormat="1">
      <c r="A492" s="5"/>
      <c r="C492" s="9" t="s">
        <v>1611</v>
      </c>
      <c r="D492" s="2">
        <v>110000</v>
      </c>
      <c r="E492" s="20" t="s">
        <v>472</v>
      </c>
      <c r="F492" s="2">
        <v>620000</v>
      </c>
      <c r="G492" s="32">
        <f>7362+2733</f>
        <v>10095</v>
      </c>
      <c r="H492" s="32">
        <f>7362+2733</f>
        <v>10095</v>
      </c>
    </row>
    <row r="493" spans="1:8" s="2" customFormat="1">
      <c r="A493" s="5"/>
      <c r="C493" s="9" t="s">
        <v>2950</v>
      </c>
      <c r="D493" s="2">
        <v>110000</v>
      </c>
      <c r="E493" s="20" t="s">
        <v>472</v>
      </c>
      <c r="F493" s="2">
        <v>610000</v>
      </c>
      <c r="G493" s="32"/>
      <c r="H493" s="32"/>
    </row>
    <row r="494" spans="1:8" s="2" customFormat="1">
      <c r="A494" s="5"/>
      <c r="C494" s="9" t="s">
        <v>2951</v>
      </c>
      <c r="D494" s="2">
        <v>110000</v>
      </c>
      <c r="E494" s="20" t="s">
        <v>472</v>
      </c>
      <c r="F494" s="2">
        <v>630000</v>
      </c>
      <c r="G494" s="32">
        <f>SUM(G486:G493)*0.24</f>
        <v>28314</v>
      </c>
      <c r="H494" s="32">
        <f>SUM(H486:H493)*0.24</f>
        <v>28314</v>
      </c>
    </row>
    <row r="495" spans="1:8" s="2" customFormat="1">
      <c r="A495" s="5"/>
      <c r="C495" s="12" t="s">
        <v>1129</v>
      </c>
      <c r="E495" s="20"/>
      <c r="G495" s="32">
        <f>SUM(G486:G494)</f>
        <v>146289</v>
      </c>
      <c r="H495" s="32">
        <f>SUM(H486:H494)</f>
        <v>146289</v>
      </c>
    </row>
    <row r="496" spans="1:8" s="2" customFormat="1">
      <c r="A496" s="5"/>
      <c r="C496" s="9" t="s">
        <v>2234</v>
      </c>
      <c r="D496" s="2">
        <v>110000</v>
      </c>
      <c r="E496" s="20" t="s">
        <v>472</v>
      </c>
      <c r="F496" s="2">
        <v>710000</v>
      </c>
      <c r="G496" s="32">
        <v>21379</v>
      </c>
      <c r="H496" s="32">
        <v>21379</v>
      </c>
    </row>
    <row r="497" spans="1:8" s="2" customFormat="1">
      <c r="A497" s="5"/>
      <c r="C497" s="8" t="s">
        <v>2235</v>
      </c>
      <c r="E497" s="20"/>
      <c r="G497" s="32">
        <f>SUM(G495:G496)</f>
        <v>167668</v>
      </c>
      <c r="H497" s="32">
        <f>SUM(H495:H496)</f>
        <v>167668</v>
      </c>
    </row>
    <row r="498" spans="1:8" s="2" customFormat="1">
      <c r="A498" s="5"/>
      <c r="E498" s="20"/>
      <c r="G498" s="32"/>
      <c r="H498" s="32"/>
    </row>
    <row r="499" spans="1:8" s="2" customFormat="1">
      <c r="A499" s="6" t="s">
        <v>472</v>
      </c>
      <c r="B499" s="2" t="s">
        <v>2861</v>
      </c>
      <c r="E499" s="20"/>
      <c r="G499" s="32"/>
      <c r="H499" s="32"/>
    </row>
    <row r="500" spans="1:8" s="2" customFormat="1">
      <c r="A500" s="5"/>
      <c r="E500" s="20"/>
      <c r="G500" s="32"/>
      <c r="H500" s="32"/>
    </row>
    <row r="501" spans="1:8" s="2" customFormat="1">
      <c r="A501" s="5"/>
      <c r="C501" s="2" t="s">
        <v>986</v>
      </c>
      <c r="D501" s="2">
        <v>110000</v>
      </c>
      <c r="E501" s="20" t="s">
        <v>472</v>
      </c>
      <c r="F501" s="19">
        <v>710000</v>
      </c>
      <c r="G501" s="32">
        <v>464367</v>
      </c>
      <c r="H501" s="32">
        <v>464367</v>
      </c>
    </row>
    <row r="502" spans="1:8" s="2" customFormat="1">
      <c r="A502" s="5"/>
      <c r="C502" s="2" t="s">
        <v>987</v>
      </c>
      <c r="D502" s="2">
        <v>110000</v>
      </c>
      <c r="E502" s="20" t="s">
        <v>472</v>
      </c>
      <c r="F502" s="19">
        <v>710000</v>
      </c>
      <c r="G502" s="32">
        <v>-464367</v>
      </c>
      <c r="H502" s="32">
        <v>-464367</v>
      </c>
    </row>
    <row r="503" spans="1:8" s="2" customFormat="1">
      <c r="A503" s="5"/>
      <c r="C503" s="8" t="s">
        <v>2235</v>
      </c>
      <c r="E503" s="20"/>
      <c r="G503" s="32">
        <f>G501+G502</f>
        <v>0</v>
      </c>
      <c r="H503" s="32">
        <f>H501+H502</f>
        <v>0</v>
      </c>
    </row>
    <row r="504" spans="1:8" s="2" customFormat="1">
      <c r="A504" s="5"/>
      <c r="E504" s="20"/>
      <c r="G504" s="32"/>
      <c r="H504" s="32"/>
    </row>
    <row r="505" spans="1:8" s="2" customFormat="1">
      <c r="A505" s="6" t="s">
        <v>2562</v>
      </c>
      <c r="B505" s="2" t="s">
        <v>1037</v>
      </c>
      <c r="D505" s="26"/>
      <c r="G505" s="32"/>
      <c r="H505" s="32"/>
    </row>
    <row r="506" spans="1:8" s="2" customFormat="1">
      <c r="D506" s="26"/>
      <c r="G506" s="32"/>
      <c r="H506" s="32"/>
    </row>
    <row r="507" spans="1:8" s="2" customFormat="1">
      <c r="A507" s="5" t="s">
        <v>1929</v>
      </c>
      <c r="B507" s="2" t="s">
        <v>2821</v>
      </c>
      <c r="C507" s="2" t="s">
        <v>2822</v>
      </c>
      <c r="D507" s="26">
        <v>110000</v>
      </c>
      <c r="E507" s="2">
        <v>320310</v>
      </c>
      <c r="F507" s="2">
        <v>610210</v>
      </c>
      <c r="G507" s="32">
        <f>69779+2163</f>
        <v>71942</v>
      </c>
      <c r="H507" s="32">
        <f>69779+2163</f>
        <v>71942</v>
      </c>
    </row>
    <row r="508" spans="1:8" s="2" customFormat="1">
      <c r="A508" s="5" t="s">
        <v>1930</v>
      </c>
      <c r="B508" s="2" t="s">
        <v>2823</v>
      </c>
      <c r="C508" s="2" t="s">
        <v>1061</v>
      </c>
      <c r="D508" s="26">
        <v>110000</v>
      </c>
      <c r="E508" s="2">
        <v>320310</v>
      </c>
      <c r="F508" s="2">
        <v>610410</v>
      </c>
      <c r="G508" s="32">
        <f>23555+660</f>
        <v>24215</v>
      </c>
      <c r="H508" s="32">
        <f>23555+660</f>
        <v>24215</v>
      </c>
    </row>
    <row r="509" spans="1:8" s="2" customFormat="1">
      <c r="A509" s="5" t="s">
        <v>1931</v>
      </c>
      <c r="B509" s="2" t="s">
        <v>2824</v>
      </c>
      <c r="C509" s="2" t="s">
        <v>2825</v>
      </c>
      <c r="D509" s="26">
        <v>110000</v>
      </c>
      <c r="E509" s="2">
        <v>320310</v>
      </c>
      <c r="F509" s="2">
        <v>610410</v>
      </c>
      <c r="G509" s="32">
        <f>14823+415</f>
        <v>15238</v>
      </c>
      <c r="H509" s="32">
        <f>14823+415</f>
        <v>15238</v>
      </c>
    </row>
    <row r="510" spans="1:8" s="2" customFormat="1">
      <c r="A510" s="5" t="s">
        <v>2826</v>
      </c>
      <c r="C510" s="2" t="s">
        <v>1611</v>
      </c>
      <c r="D510" s="26">
        <v>110000</v>
      </c>
      <c r="E510" s="2">
        <v>320310</v>
      </c>
      <c r="F510" s="2">
        <v>620000</v>
      </c>
      <c r="G510" s="32">
        <v>1635</v>
      </c>
      <c r="H510" s="32">
        <v>1635</v>
      </c>
    </row>
    <row r="511" spans="1:8" s="2" customFormat="1">
      <c r="A511" s="5" t="s">
        <v>2827</v>
      </c>
      <c r="C511" s="2" t="s">
        <v>2950</v>
      </c>
      <c r="D511" s="26">
        <v>110000</v>
      </c>
      <c r="E511" s="2">
        <v>320310</v>
      </c>
      <c r="F511" s="2">
        <v>610000</v>
      </c>
      <c r="G511" s="32"/>
      <c r="H511" s="32"/>
    </row>
    <row r="512" spans="1:8" s="2" customFormat="1">
      <c r="C512" s="2" t="s">
        <v>2951</v>
      </c>
      <c r="D512" s="26">
        <v>110000</v>
      </c>
      <c r="E512" s="2">
        <v>320310</v>
      </c>
      <c r="F512" s="2">
        <v>630000</v>
      </c>
      <c r="G512" s="32">
        <f>SUM(G507:G511)*0.21</f>
        <v>23736.3</v>
      </c>
      <c r="H512" s="32">
        <f>SUM(H507:H511)*0.21</f>
        <v>23736.3</v>
      </c>
    </row>
    <row r="513" spans="1:8" s="2" customFormat="1">
      <c r="C513" s="8" t="s">
        <v>1129</v>
      </c>
      <c r="D513" s="26"/>
      <c r="G513" s="32">
        <f>SUM(G507:G512)</f>
        <v>136766.29999999999</v>
      </c>
      <c r="H513" s="32">
        <f>SUM(H507:H512)</f>
        <v>136766.29999999999</v>
      </c>
    </row>
    <row r="514" spans="1:8" s="2" customFormat="1">
      <c r="C514" s="2" t="s">
        <v>2234</v>
      </c>
      <c r="D514" s="26">
        <v>110000</v>
      </c>
      <c r="E514" s="2">
        <v>320310</v>
      </c>
      <c r="F514" s="2">
        <v>710000</v>
      </c>
      <c r="G514" s="32">
        <v>239806</v>
      </c>
      <c r="H514" s="32">
        <v>239806</v>
      </c>
    </row>
    <row r="515" spans="1:8" s="2" customFormat="1">
      <c r="C515" s="8" t="s">
        <v>2235</v>
      </c>
      <c r="D515" s="26"/>
      <c r="G515" s="32">
        <f>G513+G514</f>
        <v>376572.3</v>
      </c>
      <c r="H515" s="32">
        <f>H513+H514</f>
        <v>376572.3</v>
      </c>
    </row>
    <row r="516" spans="1:8" s="2" customFormat="1">
      <c r="D516" s="26"/>
      <c r="G516" s="32"/>
      <c r="H516" s="32"/>
    </row>
    <row r="517" spans="1:8" s="2" customFormat="1">
      <c r="A517" s="6" t="s">
        <v>2562</v>
      </c>
      <c r="B517" s="2" t="s">
        <v>3216</v>
      </c>
      <c r="D517" s="26"/>
      <c r="G517" s="32"/>
      <c r="H517" s="32"/>
    </row>
    <row r="518" spans="1:8" s="2" customFormat="1">
      <c r="A518" s="6"/>
      <c r="D518" s="26"/>
      <c r="G518" s="32"/>
      <c r="H518" s="32"/>
    </row>
    <row r="519" spans="1:8" s="19" customFormat="1">
      <c r="A519" s="17"/>
      <c r="C519" s="19" t="s">
        <v>3217</v>
      </c>
      <c r="D519" s="28">
        <v>110000</v>
      </c>
      <c r="E519" s="19">
        <v>320310</v>
      </c>
      <c r="F519" s="19">
        <v>810000</v>
      </c>
      <c r="G519" s="34">
        <v>-323537</v>
      </c>
      <c r="H519" s="34">
        <v>-323537</v>
      </c>
    </row>
    <row r="520" spans="1:8" s="2" customFormat="1">
      <c r="A520" s="6"/>
      <c r="C520" s="8" t="s">
        <v>2235</v>
      </c>
      <c r="D520" s="26"/>
      <c r="G520" s="32">
        <f>G519</f>
        <v>-323537</v>
      </c>
      <c r="H520" s="32">
        <f>H519</f>
        <v>-323537</v>
      </c>
    </row>
    <row r="521" spans="1:8" s="2" customFormat="1">
      <c r="A521" s="6"/>
      <c r="D521" s="26"/>
      <c r="G521" s="32"/>
      <c r="H521" s="32"/>
    </row>
    <row r="522" spans="1:8" s="2" customFormat="1">
      <c r="A522" s="6" t="s">
        <v>2572</v>
      </c>
      <c r="B522" s="2" t="s">
        <v>2742</v>
      </c>
      <c r="D522" s="26"/>
      <c r="G522" s="32"/>
      <c r="H522" s="32"/>
    </row>
    <row r="523" spans="1:8" s="2" customFormat="1">
      <c r="D523" s="26"/>
      <c r="G523" s="32"/>
      <c r="H523" s="32"/>
    </row>
    <row r="524" spans="1:8" s="2" customFormat="1">
      <c r="A524" s="5" t="s">
        <v>1666</v>
      </c>
      <c r="C524" s="2" t="s">
        <v>2743</v>
      </c>
      <c r="D524" s="26">
        <v>110000</v>
      </c>
      <c r="E524" s="2">
        <v>320320</v>
      </c>
      <c r="F524" s="2">
        <v>610410</v>
      </c>
      <c r="G524" s="32">
        <f>12820+359</f>
        <v>13179</v>
      </c>
      <c r="H524" s="32">
        <f>12820+359</f>
        <v>13179</v>
      </c>
    </row>
    <row r="525" spans="1:8" s="2" customFormat="1">
      <c r="A525" s="5" t="s">
        <v>1667</v>
      </c>
      <c r="B525" s="2" t="s">
        <v>2744</v>
      </c>
      <c r="C525" s="2" t="s">
        <v>2743</v>
      </c>
      <c r="D525" s="26">
        <v>110000</v>
      </c>
      <c r="E525" s="2">
        <v>320320</v>
      </c>
      <c r="F525" s="2">
        <v>610410</v>
      </c>
      <c r="G525" s="32">
        <f>22097+619</f>
        <v>22716</v>
      </c>
      <c r="H525" s="32">
        <f>22097+619</f>
        <v>22716</v>
      </c>
    </row>
    <row r="526" spans="1:8" s="2" customFormat="1">
      <c r="A526" s="5" t="s">
        <v>1668</v>
      </c>
      <c r="B526" s="2" t="s">
        <v>1756</v>
      </c>
      <c r="C526" s="2" t="s">
        <v>2743</v>
      </c>
      <c r="D526" s="26">
        <v>110000</v>
      </c>
      <c r="E526" s="2">
        <v>320320</v>
      </c>
      <c r="F526" s="2">
        <v>610410</v>
      </c>
      <c r="G526" s="32">
        <f>22097+619</f>
        <v>22716</v>
      </c>
      <c r="H526" s="32">
        <f>22097+619</f>
        <v>22716</v>
      </c>
    </row>
    <row r="527" spans="1:8" s="2" customFormat="1">
      <c r="A527" s="5" t="s">
        <v>1669</v>
      </c>
      <c r="B527" s="2" t="s">
        <v>1757</v>
      </c>
      <c r="C527" s="2" t="s">
        <v>2743</v>
      </c>
      <c r="D527" s="26">
        <v>110000</v>
      </c>
      <c r="E527" s="2">
        <v>320320</v>
      </c>
      <c r="F527" s="2">
        <v>610410</v>
      </c>
      <c r="G527" s="32">
        <f>16721+468</f>
        <v>17189</v>
      </c>
      <c r="H527" s="32">
        <f>16721+468</f>
        <v>17189</v>
      </c>
    </row>
    <row r="528" spans="1:8" s="2" customFormat="1">
      <c r="A528" s="5" t="s">
        <v>1670</v>
      </c>
      <c r="B528" s="2" t="s">
        <v>1758</v>
      </c>
      <c r="C528" s="2" t="s">
        <v>2743</v>
      </c>
      <c r="D528" s="26">
        <v>110000</v>
      </c>
      <c r="E528" s="2">
        <v>320320</v>
      </c>
      <c r="F528" s="2">
        <v>610410</v>
      </c>
      <c r="G528" s="32">
        <f>16915+474</f>
        <v>17389</v>
      </c>
      <c r="H528" s="32">
        <f>16915+474</f>
        <v>17389</v>
      </c>
    </row>
    <row r="529" spans="1:8" s="2" customFormat="1">
      <c r="A529" s="5" t="s">
        <v>1671</v>
      </c>
      <c r="B529" s="2" t="s">
        <v>1759</v>
      </c>
      <c r="C529" s="2" t="s">
        <v>1760</v>
      </c>
      <c r="D529" s="26">
        <v>110000</v>
      </c>
      <c r="E529" s="2">
        <v>320320</v>
      </c>
      <c r="F529" s="2">
        <v>610410</v>
      </c>
      <c r="G529" s="32">
        <f>11882+333</f>
        <v>12215</v>
      </c>
      <c r="H529" s="32">
        <f>11882+333</f>
        <v>12215</v>
      </c>
    </row>
    <row r="530" spans="1:8" s="2" customFormat="1">
      <c r="A530" s="5" t="s">
        <v>1672</v>
      </c>
      <c r="B530" s="2" t="s">
        <v>1761</v>
      </c>
      <c r="C530" s="2" t="s">
        <v>1760</v>
      </c>
      <c r="D530" s="26">
        <v>110000</v>
      </c>
      <c r="E530" s="2">
        <v>320320</v>
      </c>
      <c r="F530" s="2">
        <v>610410</v>
      </c>
      <c r="G530" s="32">
        <f>20265+567</f>
        <v>20832</v>
      </c>
      <c r="H530" s="32">
        <f>20265+567</f>
        <v>20832</v>
      </c>
    </row>
    <row r="531" spans="1:8" s="2" customFormat="1">
      <c r="A531" s="5" t="s">
        <v>1673</v>
      </c>
      <c r="B531" s="2" t="s">
        <v>1762</v>
      </c>
      <c r="C531" s="2" t="s">
        <v>1760</v>
      </c>
      <c r="D531" s="26">
        <v>110000</v>
      </c>
      <c r="E531" s="2">
        <v>320320</v>
      </c>
      <c r="F531" s="2">
        <v>610410</v>
      </c>
      <c r="G531" s="32">
        <f>12979+363</f>
        <v>13342</v>
      </c>
      <c r="H531" s="32">
        <f>12979+363</f>
        <v>13342</v>
      </c>
    </row>
    <row r="532" spans="1:8" s="2" customFormat="1">
      <c r="A532" s="5" t="s">
        <v>1674</v>
      </c>
      <c r="B532" s="2" t="s">
        <v>1763</v>
      </c>
      <c r="C532" s="2" t="s">
        <v>1760</v>
      </c>
      <c r="D532" s="26">
        <v>110000</v>
      </c>
      <c r="E532" s="2">
        <v>320320</v>
      </c>
      <c r="F532" s="2">
        <v>610410</v>
      </c>
      <c r="G532" s="32">
        <f>20433+572</f>
        <v>21005</v>
      </c>
      <c r="H532" s="32">
        <f>20433+572</f>
        <v>21005</v>
      </c>
    </row>
    <row r="533" spans="1:8" s="2" customFormat="1">
      <c r="A533" s="5" t="s">
        <v>1675</v>
      </c>
      <c r="C533" s="2" t="s">
        <v>1760</v>
      </c>
      <c r="D533" s="26">
        <v>110000</v>
      </c>
      <c r="E533" s="2">
        <v>320320</v>
      </c>
      <c r="F533" s="2">
        <v>610410</v>
      </c>
      <c r="G533" s="32">
        <f>11055+310</f>
        <v>11365</v>
      </c>
      <c r="H533" s="32">
        <f>11055+310</f>
        <v>11365</v>
      </c>
    </row>
    <row r="534" spans="1:8" s="2" customFormat="1">
      <c r="A534" s="5" t="s">
        <v>1676</v>
      </c>
      <c r="B534" s="2" t="s">
        <v>1765</v>
      </c>
      <c r="C534" s="2" t="s">
        <v>1760</v>
      </c>
      <c r="D534" s="26">
        <v>110000</v>
      </c>
      <c r="E534" s="2">
        <v>320320</v>
      </c>
      <c r="F534" s="2">
        <v>610410</v>
      </c>
      <c r="G534" s="32">
        <f>11870+332</f>
        <v>12202</v>
      </c>
      <c r="H534" s="32">
        <f>11870+332</f>
        <v>12202</v>
      </c>
    </row>
    <row r="535" spans="1:8" s="2" customFormat="1">
      <c r="A535" s="5" t="s">
        <v>1677</v>
      </c>
      <c r="B535" s="2" t="s">
        <v>1766</v>
      </c>
      <c r="C535" s="2" t="s">
        <v>1760</v>
      </c>
      <c r="D535" s="26">
        <v>110000</v>
      </c>
      <c r="E535" s="2">
        <v>320320</v>
      </c>
      <c r="F535" s="2">
        <v>610410</v>
      </c>
      <c r="G535" s="32">
        <f>20264+567</f>
        <v>20831</v>
      </c>
      <c r="H535" s="32">
        <f>20264+567</f>
        <v>20831</v>
      </c>
    </row>
    <row r="536" spans="1:8" s="2" customFormat="1">
      <c r="A536" s="5" t="s">
        <v>1678</v>
      </c>
      <c r="B536" s="2" t="s">
        <v>1767</v>
      </c>
      <c r="C536" s="2" t="s">
        <v>1760</v>
      </c>
      <c r="D536" s="26">
        <v>110000</v>
      </c>
      <c r="E536" s="2">
        <v>320320</v>
      </c>
      <c r="F536" s="2">
        <v>610410</v>
      </c>
      <c r="G536" s="32">
        <f>20265+567</f>
        <v>20832</v>
      </c>
      <c r="H536" s="32">
        <f>20265+567</f>
        <v>20832</v>
      </c>
    </row>
    <row r="537" spans="1:8" s="2" customFormat="1">
      <c r="A537" s="5" t="s">
        <v>1679</v>
      </c>
      <c r="B537" s="2" t="s">
        <v>773</v>
      </c>
      <c r="C537" s="2" t="s">
        <v>1760</v>
      </c>
      <c r="D537" s="26">
        <v>110000</v>
      </c>
      <c r="E537" s="2">
        <v>320320</v>
      </c>
      <c r="F537" s="2">
        <v>610410</v>
      </c>
      <c r="G537" s="32">
        <f>11055+310</f>
        <v>11365</v>
      </c>
      <c r="H537" s="32">
        <f>11055+310</f>
        <v>11365</v>
      </c>
    </row>
    <row r="538" spans="1:8" s="2" customFormat="1">
      <c r="A538" s="5" t="s">
        <v>1680</v>
      </c>
      <c r="B538" s="2" t="s">
        <v>1764</v>
      </c>
      <c r="C538" s="2" t="s">
        <v>1769</v>
      </c>
      <c r="D538" s="26">
        <v>110000</v>
      </c>
      <c r="E538" s="2">
        <v>320320</v>
      </c>
      <c r="F538" s="2">
        <v>610410</v>
      </c>
      <c r="G538" s="32">
        <v>12202</v>
      </c>
      <c r="H538" s="32">
        <v>12202</v>
      </c>
    </row>
    <row r="539" spans="1:8" s="2" customFormat="1">
      <c r="A539" s="5" t="s">
        <v>1681</v>
      </c>
      <c r="C539" s="2" t="s">
        <v>1769</v>
      </c>
      <c r="D539" s="26">
        <v>110000</v>
      </c>
      <c r="E539" s="2">
        <v>320320</v>
      </c>
      <c r="F539" s="2">
        <v>610410</v>
      </c>
      <c r="G539" s="32">
        <f>11055+310</f>
        <v>11365</v>
      </c>
      <c r="H539" s="32">
        <f>11055+310</f>
        <v>11365</v>
      </c>
    </row>
    <row r="540" spans="1:8" s="2" customFormat="1">
      <c r="A540" s="5" t="s">
        <v>1682</v>
      </c>
      <c r="B540" s="2" t="s">
        <v>1770</v>
      </c>
      <c r="C540" s="2" t="s">
        <v>1769</v>
      </c>
      <c r="D540" s="26">
        <v>110000</v>
      </c>
      <c r="E540" s="2">
        <v>320320</v>
      </c>
      <c r="F540" s="2">
        <v>610410</v>
      </c>
      <c r="G540" s="32">
        <f>11210+314</f>
        <v>11524</v>
      </c>
      <c r="H540" s="32">
        <f>11210+314</f>
        <v>11524</v>
      </c>
    </row>
    <row r="541" spans="1:8" s="2" customFormat="1">
      <c r="A541" s="5" t="s">
        <v>1683</v>
      </c>
      <c r="B541" s="2" t="s">
        <v>2855</v>
      </c>
      <c r="C541" s="2" t="s">
        <v>1769</v>
      </c>
      <c r="D541" s="26">
        <v>110000</v>
      </c>
      <c r="E541" s="2">
        <v>320320</v>
      </c>
      <c r="F541" s="2">
        <v>610410</v>
      </c>
      <c r="G541" s="32">
        <f>11055+310</f>
        <v>11365</v>
      </c>
      <c r="H541" s="32">
        <f>11055+310</f>
        <v>11365</v>
      </c>
    </row>
    <row r="542" spans="1:8" s="2" customFormat="1">
      <c r="A542" s="5" t="s">
        <v>1684</v>
      </c>
      <c r="B542" s="2" t="s">
        <v>1771</v>
      </c>
      <c r="C542" s="2" t="s">
        <v>1769</v>
      </c>
      <c r="D542" s="26">
        <v>110000</v>
      </c>
      <c r="E542" s="2">
        <v>320320</v>
      </c>
      <c r="F542" s="2">
        <v>610410</v>
      </c>
      <c r="G542" s="32">
        <f>11199+314</f>
        <v>11513</v>
      </c>
      <c r="H542" s="32">
        <f>11199+314</f>
        <v>11513</v>
      </c>
    </row>
    <row r="543" spans="1:8" s="2" customFormat="1">
      <c r="A543" s="5" t="s">
        <v>1685</v>
      </c>
      <c r="B543" s="2" t="s">
        <v>1772</v>
      </c>
      <c r="C543" s="2" t="s">
        <v>1769</v>
      </c>
      <c r="D543" s="26">
        <v>110000</v>
      </c>
      <c r="E543" s="2">
        <v>320320</v>
      </c>
      <c r="F543" s="2">
        <v>610410</v>
      </c>
      <c r="G543" s="32">
        <f>17493+490</f>
        <v>17983</v>
      </c>
      <c r="H543" s="32">
        <f>17493+490</f>
        <v>17983</v>
      </c>
    </row>
    <row r="544" spans="1:8" s="2" customFormat="1">
      <c r="A544" s="5" t="s">
        <v>1686</v>
      </c>
      <c r="B544" s="2" t="s">
        <v>2998</v>
      </c>
      <c r="C544" s="2" t="s">
        <v>1769</v>
      </c>
      <c r="D544" s="26">
        <v>110000</v>
      </c>
      <c r="E544" s="2">
        <v>320320</v>
      </c>
      <c r="F544" s="2">
        <v>610410</v>
      </c>
      <c r="G544" s="32">
        <v>11365</v>
      </c>
      <c r="H544" s="32">
        <v>11365</v>
      </c>
    </row>
    <row r="545" spans="1:8" s="2" customFormat="1">
      <c r="A545" s="5" t="s">
        <v>1687</v>
      </c>
      <c r="B545" s="2" t="s">
        <v>1192</v>
      </c>
      <c r="C545" s="2" t="s">
        <v>1769</v>
      </c>
      <c r="D545" s="26">
        <v>110000</v>
      </c>
      <c r="E545" s="2">
        <v>320320</v>
      </c>
      <c r="F545" s="2">
        <v>610410</v>
      </c>
      <c r="G545" s="32">
        <f>11199+314</f>
        <v>11513</v>
      </c>
      <c r="H545" s="32">
        <f>11199+314</f>
        <v>11513</v>
      </c>
    </row>
    <row r="546" spans="1:8" s="2" customFormat="1">
      <c r="A546" s="5" t="s">
        <v>1688</v>
      </c>
      <c r="B546" s="2" t="s">
        <v>1193</v>
      </c>
      <c r="C546" s="2" t="s">
        <v>1769</v>
      </c>
      <c r="D546" s="26">
        <v>110000</v>
      </c>
      <c r="E546" s="2">
        <v>320320</v>
      </c>
      <c r="F546" s="2">
        <v>610410</v>
      </c>
      <c r="G546" s="32">
        <f>13365+374</f>
        <v>13739</v>
      </c>
      <c r="H546" s="32">
        <f>13365+374</f>
        <v>13739</v>
      </c>
    </row>
    <row r="547" spans="1:8" s="2" customFormat="1">
      <c r="A547" s="5" t="s">
        <v>1689</v>
      </c>
      <c r="B547" s="2" t="s">
        <v>2856</v>
      </c>
      <c r="C547" s="2" t="s">
        <v>1769</v>
      </c>
      <c r="D547" s="26">
        <v>110000</v>
      </c>
      <c r="E547" s="2">
        <v>320320</v>
      </c>
      <c r="F547" s="2">
        <v>610410</v>
      </c>
      <c r="G547" s="32">
        <f>11055+310</f>
        <v>11365</v>
      </c>
      <c r="H547" s="32">
        <f>11055+310</f>
        <v>11365</v>
      </c>
    </row>
    <row r="548" spans="1:8" s="2" customFormat="1">
      <c r="A548" s="5" t="s">
        <v>1690</v>
      </c>
      <c r="B548" s="2" t="s">
        <v>1194</v>
      </c>
      <c r="C548" s="2" t="s">
        <v>1769</v>
      </c>
      <c r="D548" s="26">
        <v>110000</v>
      </c>
      <c r="E548" s="2">
        <v>320320</v>
      </c>
      <c r="F548" s="2">
        <v>610410</v>
      </c>
      <c r="G548" s="32">
        <f>11199+314</f>
        <v>11513</v>
      </c>
      <c r="H548" s="32">
        <f>11199+314</f>
        <v>11513</v>
      </c>
    </row>
    <row r="549" spans="1:8" s="2" customFormat="1">
      <c r="A549" s="5" t="s">
        <v>1691</v>
      </c>
      <c r="B549" s="2" t="s">
        <v>1195</v>
      </c>
      <c r="C549" s="2" t="s">
        <v>1769</v>
      </c>
      <c r="D549" s="26">
        <v>110000</v>
      </c>
      <c r="E549" s="2">
        <v>320320</v>
      </c>
      <c r="F549" s="2">
        <v>610410</v>
      </c>
      <c r="G549" s="32">
        <f>11199+314</f>
        <v>11513</v>
      </c>
      <c r="H549" s="32">
        <f>11199+314</f>
        <v>11513</v>
      </c>
    </row>
    <row r="550" spans="1:8" s="2" customFormat="1">
      <c r="A550" s="5" t="s">
        <v>1692</v>
      </c>
      <c r="C550" s="2" t="s">
        <v>1769</v>
      </c>
      <c r="D550" s="26">
        <v>110000</v>
      </c>
      <c r="E550" s="2">
        <v>320320</v>
      </c>
      <c r="F550" s="2">
        <v>610410</v>
      </c>
      <c r="G550" s="32">
        <f>11055+310</f>
        <v>11365</v>
      </c>
      <c r="H550" s="32">
        <f>11055+310</f>
        <v>11365</v>
      </c>
    </row>
    <row r="551" spans="1:8" s="2" customFormat="1">
      <c r="A551" s="6" t="s">
        <v>2572</v>
      </c>
      <c r="B551" s="2" t="s">
        <v>2742</v>
      </c>
      <c r="D551" s="26"/>
      <c r="G551" s="32"/>
      <c r="H551" s="32"/>
    </row>
    <row r="552" spans="1:8" s="2" customFormat="1">
      <c r="A552" s="5"/>
      <c r="D552" s="26"/>
      <c r="G552" s="32"/>
      <c r="H552" s="32"/>
    </row>
    <row r="553" spans="1:8" customFormat="1" ht="12.75">
      <c r="A553" s="5" t="s">
        <v>1693</v>
      </c>
      <c r="B553" s="2" t="s">
        <v>1196</v>
      </c>
      <c r="C553" s="2" t="s">
        <v>1769</v>
      </c>
      <c r="D553" s="26">
        <v>110000</v>
      </c>
      <c r="E553" s="2">
        <v>320320</v>
      </c>
      <c r="F553" s="2">
        <v>610410</v>
      </c>
      <c r="G553" s="32">
        <f>14128+396</f>
        <v>14524</v>
      </c>
      <c r="H553" s="32">
        <f>14128+396</f>
        <v>14524</v>
      </c>
    </row>
    <row r="554" spans="1:8" s="2" customFormat="1">
      <c r="A554" s="5" t="s">
        <v>1694</v>
      </c>
      <c r="B554" s="2" t="s">
        <v>3194</v>
      </c>
      <c r="C554" s="2" t="s">
        <v>1769</v>
      </c>
      <c r="D554" s="26">
        <v>110000</v>
      </c>
      <c r="E554" s="2">
        <v>320320</v>
      </c>
      <c r="F554" s="2">
        <v>610410</v>
      </c>
      <c r="G554" s="32">
        <f>11210+314</f>
        <v>11524</v>
      </c>
      <c r="H554" s="32">
        <f>11210+314</f>
        <v>11524</v>
      </c>
    </row>
    <row r="555" spans="1:8" s="2" customFormat="1">
      <c r="A555" s="5" t="s">
        <v>1695</v>
      </c>
      <c r="B555" s="2" t="s">
        <v>3195</v>
      </c>
      <c r="C555" s="2" t="s">
        <v>1769</v>
      </c>
      <c r="D555" s="26">
        <v>110000</v>
      </c>
      <c r="E555" s="2">
        <v>320320</v>
      </c>
      <c r="F555" s="2">
        <v>610410</v>
      </c>
      <c r="G555" s="32">
        <f>20002+560</f>
        <v>20562</v>
      </c>
      <c r="H555" s="32">
        <f>20002+560</f>
        <v>20562</v>
      </c>
    </row>
    <row r="556" spans="1:8" s="2" customFormat="1">
      <c r="A556" s="5" t="s">
        <v>1696</v>
      </c>
      <c r="B556" s="2" t="s">
        <v>869</v>
      </c>
      <c r="C556" s="2" t="s">
        <v>1769</v>
      </c>
      <c r="D556" s="26">
        <v>110000</v>
      </c>
      <c r="E556" s="2">
        <v>320320</v>
      </c>
      <c r="F556" s="2">
        <v>610410</v>
      </c>
      <c r="G556" s="32">
        <f>11055+310</f>
        <v>11365</v>
      </c>
      <c r="H556" s="32">
        <f>11055+310</f>
        <v>11365</v>
      </c>
    </row>
    <row r="557" spans="1:8" s="2" customFormat="1">
      <c r="A557" s="5" t="s">
        <v>1697</v>
      </c>
      <c r="B557" s="2" t="s">
        <v>3196</v>
      </c>
      <c r="C557" s="2" t="s">
        <v>1769</v>
      </c>
      <c r="D557" s="26">
        <v>110000</v>
      </c>
      <c r="E557" s="2">
        <v>320320</v>
      </c>
      <c r="F557" s="2">
        <v>610410</v>
      </c>
      <c r="G557" s="32">
        <f>11199+314</f>
        <v>11513</v>
      </c>
      <c r="H557" s="32">
        <f>11199+314</f>
        <v>11513</v>
      </c>
    </row>
    <row r="558" spans="1:8" s="2" customFormat="1">
      <c r="A558" s="5" t="s">
        <v>1698</v>
      </c>
      <c r="B558" s="2" t="s">
        <v>3197</v>
      </c>
      <c r="C558" s="2" t="s">
        <v>1769</v>
      </c>
      <c r="D558" s="26">
        <v>110000</v>
      </c>
      <c r="E558" s="2">
        <v>320320</v>
      </c>
      <c r="F558" s="2">
        <v>610410</v>
      </c>
      <c r="G558" s="32">
        <f>13400+375</f>
        <v>13775</v>
      </c>
      <c r="H558" s="32">
        <f>13400+375</f>
        <v>13775</v>
      </c>
    </row>
    <row r="559" spans="1:8" s="2" customFormat="1">
      <c r="A559" s="5" t="s">
        <v>1699</v>
      </c>
      <c r="B559" s="2" t="s">
        <v>3198</v>
      </c>
      <c r="C559" s="2" t="s">
        <v>1769</v>
      </c>
      <c r="D559" s="26">
        <v>110000</v>
      </c>
      <c r="E559" s="2">
        <v>320320</v>
      </c>
      <c r="F559" s="2">
        <v>610410</v>
      </c>
      <c r="G559" s="32">
        <f>16765+469</f>
        <v>17234</v>
      </c>
      <c r="H559" s="32">
        <f>16765+469</f>
        <v>17234</v>
      </c>
    </row>
    <row r="560" spans="1:8" s="2" customFormat="1">
      <c r="A560" s="5" t="s">
        <v>1700</v>
      </c>
      <c r="B560" s="2" t="s">
        <v>2434</v>
      </c>
      <c r="C560" s="2" t="s">
        <v>1769</v>
      </c>
      <c r="D560" s="26">
        <v>110000</v>
      </c>
      <c r="E560" s="2">
        <v>320320</v>
      </c>
      <c r="F560" s="2">
        <v>610410</v>
      </c>
      <c r="G560" s="32">
        <f>12145+340</f>
        <v>12485</v>
      </c>
      <c r="H560" s="32">
        <f>12145+340</f>
        <v>12485</v>
      </c>
    </row>
    <row r="561" spans="1:8" s="2" customFormat="1">
      <c r="A561" s="5" t="s">
        <v>1701</v>
      </c>
      <c r="B561" s="2" t="s">
        <v>2435</v>
      </c>
      <c r="C561" s="2" t="s">
        <v>2436</v>
      </c>
      <c r="D561" s="26">
        <v>110000</v>
      </c>
      <c r="E561" s="2">
        <v>320320</v>
      </c>
      <c r="F561" s="2">
        <v>610410</v>
      </c>
      <c r="G561" s="32">
        <f>11199+314</f>
        <v>11513</v>
      </c>
      <c r="H561" s="32">
        <f>11199+314</f>
        <v>11513</v>
      </c>
    </row>
    <row r="562" spans="1:8" s="2" customFormat="1">
      <c r="A562" s="5" t="s">
        <v>1702</v>
      </c>
      <c r="B562" s="2" t="s">
        <v>2437</v>
      </c>
      <c r="C562" s="2" t="s">
        <v>1769</v>
      </c>
      <c r="D562" s="26">
        <v>110000</v>
      </c>
      <c r="E562" s="2">
        <v>320320</v>
      </c>
      <c r="F562" s="2">
        <v>610410</v>
      </c>
      <c r="G562" s="32">
        <f>12146+340</f>
        <v>12486</v>
      </c>
      <c r="H562" s="32">
        <f>12146+340</f>
        <v>12486</v>
      </c>
    </row>
    <row r="563" spans="1:8" s="2" customFormat="1">
      <c r="A563" s="5" t="s">
        <v>1703</v>
      </c>
      <c r="C563" s="2" t="s">
        <v>1769</v>
      </c>
      <c r="D563" s="26">
        <v>110000</v>
      </c>
      <c r="E563" s="2">
        <v>320320</v>
      </c>
      <c r="F563" s="2">
        <v>610410</v>
      </c>
      <c r="G563" s="32">
        <f>11199+314</f>
        <v>11513</v>
      </c>
      <c r="H563" s="32">
        <f>11199+314</f>
        <v>11513</v>
      </c>
    </row>
    <row r="564" spans="1:8" s="2" customFormat="1">
      <c r="A564" s="5" t="s">
        <v>1704</v>
      </c>
      <c r="C564" s="2" t="s">
        <v>1769</v>
      </c>
      <c r="D564" s="26">
        <v>110000</v>
      </c>
      <c r="E564" s="2">
        <v>320320</v>
      </c>
      <c r="F564" s="2">
        <v>610410</v>
      </c>
      <c r="G564" s="32">
        <f>11199+314</f>
        <v>11513</v>
      </c>
      <c r="H564" s="32">
        <f>11199+314</f>
        <v>11513</v>
      </c>
    </row>
    <row r="565" spans="1:8" s="2" customFormat="1">
      <c r="A565" s="5" t="s">
        <v>1705</v>
      </c>
      <c r="B565" s="2" t="s">
        <v>2438</v>
      </c>
      <c r="C565" s="2" t="s">
        <v>1769</v>
      </c>
      <c r="D565" s="26">
        <v>110000</v>
      </c>
      <c r="E565" s="2">
        <v>320320</v>
      </c>
      <c r="F565" s="2">
        <v>610410</v>
      </c>
      <c r="G565" s="32">
        <f>11370+318</f>
        <v>11688</v>
      </c>
      <c r="H565" s="32">
        <f>11370+318</f>
        <v>11688</v>
      </c>
    </row>
    <row r="566" spans="1:8" s="2" customFormat="1">
      <c r="A566" s="5" t="s">
        <v>1706</v>
      </c>
      <c r="B566" s="2" t="s">
        <v>2857</v>
      </c>
      <c r="C566" s="2" t="s">
        <v>1769</v>
      </c>
      <c r="D566" s="26">
        <v>110000</v>
      </c>
      <c r="E566" s="2">
        <v>320320</v>
      </c>
      <c r="F566" s="2">
        <v>610410</v>
      </c>
      <c r="G566" s="32">
        <f>11055+310</f>
        <v>11365</v>
      </c>
      <c r="H566" s="32">
        <f>11055+310</f>
        <v>11365</v>
      </c>
    </row>
    <row r="567" spans="1:8" s="2" customFormat="1">
      <c r="A567" s="5" t="s">
        <v>1707</v>
      </c>
      <c r="B567" s="2" t="s">
        <v>2439</v>
      </c>
      <c r="C567" s="2" t="s">
        <v>1769</v>
      </c>
      <c r="D567" s="26">
        <v>110000</v>
      </c>
      <c r="E567" s="2">
        <v>320320</v>
      </c>
      <c r="F567" s="2">
        <v>610410</v>
      </c>
      <c r="G567" s="32">
        <f>18850+528</f>
        <v>19378</v>
      </c>
      <c r="H567" s="32">
        <f>18850+528</f>
        <v>19378</v>
      </c>
    </row>
    <row r="568" spans="1:8" s="2" customFormat="1">
      <c r="A568" s="5" t="s">
        <v>1708</v>
      </c>
      <c r="B568" s="2" t="s">
        <v>2440</v>
      </c>
      <c r="C568" s="2" t="s">
        <v>1769</v>
      </c>
      <c r="D568" s="26">
        <v>110000</v>
      </c>
      <c r="E568" s="2">
        <v>320320</v>
      </c>
      <c r="F568" s="2">
        <v>610410</v>
      </c>
      <c r="G568" s="32">
        <f>11199+314</f>
        <v>11513</v>
      </c>
      <c r="H568" s="32">
        <f>11199+314</f>
        <v>11513</v>
      </c>
    </row>
    <row r="569" spans="1:8" s="2" customFormat="1">
      <c r="A569" s="5" t="s">
        <v>1709</v>
      </c>
      <c r="B569" s="2" t="s">
        <v>1768</v>
      </c>
      <c r="C569" s="2" t="s">
        <v>1769</v>
      </c>
      <c r="D569" s="26">
        <v>110000</v>
      </c>
      <c r="E569" s="2">
        <v>320320</v>
      </c>
      <c r="F569" s="2">
        <v>610410</v>
      </c>
      <c r="G569" s="32">
        <f>11199+314</f>
        <v>11513</v>
      </c>
      <c r="H569" s="32">
        <f>11199+314</f>
        <v>11513</v>
      </c>
    </row>
    <row r="570" spans="1:8" s="2" customFormat="1">
      <c r="A570" s="5" t="s">
        <v>1710</v>
      </c>
      <c r="B570" s="2" t="s">
        <v>2999</v>
      </c>
      <c r="C570" s="2" t="s">
        <v>1769</v>
      </c>
      <c r="D570" s="26">
        <v>110000</v>
      </c>
      <c r="E570" s="2">
        <v>320320</v>
      </c>
      <c r="F570" s="2">
        <v>610410</v>
      </c>
      <c r="G570" s="32">
        <f>11055+310</f>
        <v>11365</v>
      </c>
      <c r="H570" s="32">
        <f>11055+310</f>
        <v>11365</v>
      </c>
    </row>
    <row r="571" spans="1:8" s="2" customFormat="1">
      <c r="A571" s="5" t="s">
        <v>1711</v>
      </c>
      <c r="B571" s="2" t="s">
        <v>1123</v>
      </c>
      <c r="C571" s="2" t="s">
        <v>1769</v>
      </c>
      <c r="D571" s="26">
        <v>110000</v>
      </c>
      <c r="E571" s="2">
        <v>320320</v>
      </c>
      <c r="F571" s="2">
        <v>610410</v>
      </c>
      <c r="G571" s="32">
        <f>12146+340</f>
        <v>12486</v>
      </c>
      <c r="H571" s="32">
        <f>12146+340</f>
        <v>12486</v>
      </c>
    </row>
    <row r="572" spans="1:8" s="2" customFormat="1">
      <c r="A572" s="5" t="s">
        <v>1712</v>
      </c>
      <c r="C572" s="2" t="s">
        <v>1769</v>
      </c>
      <c r="D572" s="26">
        <v>110000</v>
      </c>
      <c r="E572" s="2">
        <v>320320</v>
      </c>
      <c r="F572" s="2">
        <v>610410</v>
      </c>
      <c r="G572" s="32">
        <f>11055+310</f>
        <v>11365</v>
      </c>
      <c r="H572" s="32">
        <f>11055+310</f>
        <v>11365</v>
      </c>
    </row>
    <row r="573" spans="1:8" s="2" customFormat="1">
      <c r="A573" s="5" t="s">
        <v>1713</v>
      </c>
      <c r="B573" s="2" t="s">
        <v>1372</v>
      </c>
      <c r="C573" s="2" t="s">
        <v>1769</v>
      </c>
      <c r="D573" s="26">
        <v>110000</v>
      </c>
      <c r="E573" s="2">
        <v>320320</v>
      </c>
      <c r="F573" s="2">
        <v>610410</v>
      </c>
      <c r="G573" s="32">
        <f>11199+314</f>
        <v>11513</v>
      </c>
      <c r="H573" s="32">
        <f>11199+314</f>
        <v>11513</v>
      </c>
    </row>
    <row r="574" spans="1:8" s="2" customFormat="1">
      <c r="A574" s="5" t="s">
        <v>1714</v>
      </c>
      <c r="B574" s="2" t="s">
        <v>2859</v>
      </c>
      <c r="C574" s="2" t="s">
        <v>1769</v>
      </c>
      <c r="D574" s="26">
        <v>110000</v>
      </c>
      <c r="E574" s="2">
        <v>320320</v>
      </c>
      <c r="F574" s="2">
        <v>610410</v>
      </c>
      <c r="G574" s="32">
        <f>11055+310</f>
        <v>11365</v>
      </c>
      <c r="H574" s="32">
        <f>11055+310</f>
        <v>11365</v>
      </c>
    </row>
    <row r="575" spans="1:8" s="2" customFormat="1">
      <c r="A575" s="5" t="s">
        <v>1715</v>
      </c>
      <c r="C575" s="2" t="s">
        <v>1769</v>
      </c>
      <c r="D575" s="26">
        <v>110000</v>
      </c>
      <c r="E575" s="2">
        <v>320320</v>
      </c>
      <c r="F575" s="2">
        <v>610410</v>
      </c>
      <c r="G575" s="32">
        <v>11365</v>
      </c>
      <c r="H575" s="32">
        <v>11365</v>
      </c>
    </row>
    <row r="576" spans="1:8" s="2" customFormat="1">
      <c r="A576" s="5" t="s">
        <v>259</v>
      </c>
      <c r="C576" s="2" t="s">
        <v>2950</v>
      </c>
      <c r="D576" s="26">
        <v>110000</v>
      </c>
      <c r="E576" s="2">
        <v>320320</v>
      </c>
      <c r="F576" s="2">
        <v>610000</v>
      </c>
      <c r="G576" s="32">
        <v>1513</v>
      </c>
      <c r="H576" s="32">
        <v>1513</v>
      </c>
    </row>
    <row r="577" spans="1:8" s="2" customFormat="1">
      <c r="C577" s="2" t="s">
        <v>2951</v>
      </c>
      <c r="D577" s="26">
        <v>110000</v>
      </c>
      <c r="E577" s="2">
        <v>320320</v>
      </c>
      <c r="F577" s="2">
        <v>630000</v>
      </c>
      <c r="G577" s="32">
        <f>SUM(G524:G576)*0.19-1194-1557</f>
        <v>128717.41</v>
      </c>
      <c r="H577" s="32">
        <f>SUM(H524:H576)*0.19-1194-1557</f>
        <v>128717.41</v>
      </c>
    </row>
    <row r="578" spans="1:8" s="2" customFormat="1">
      <c r="C578" s="8" t="s">
        <v>1129</v>
      </c>
      <c r="D578" s="26"/>
      <c r="G578" s="32">
        <f>SUM(G524:G577)</f>
        <v>820656.41</v>
      </c>
      <c r="H578" s="32">
        <f>SUM(H524:H577)</f>
        <v>820656.41</v>
      </c>
    </row>
    <row r="579" spans="1:8" s="2" customFormat="1">
      <c r="C579" s="8" t="s">
        <v>2235</v>
      </c>
      <c r="D579" s="26"/>
      <c r="G579" s="32">
        <f>G578</f>
        <v>820656.41</v>
      </c>
      <c r="H579" s="32">
        <f>H578</f>
        <v>820656.41</v>
      </c>
    </row>
    <row r="580" spans="1:8" s="2" customFormat="1">
      <c r="A580" s="6" t="s">
        <v>2568</v>
      </c>
      <c r="B580" s="2" t="s">
        <v>596</v>
      </c>
      <c r="D580" s="26"/>
      <c r="G580" s="32"/>
      <c r="H580" s="32"/>
    </row>
    <row r="581" spans="1:8" s="2" customFormat="1">
      <c r="D581" s="26"/>
      <c r="G581" s="32"/>
      <c r="H581" s="32"/>
    </row>
    <row r="582" spans="1:8" s="2" customFormat="1">
      <c r="A582" s="5" t="s">
        <v>1961</v>
      </c>
      <c r="B582" s="2" t="s">
        <v>597</v>
      </c>
      <c r="C582" s="2" t="s">
        <v>598</v>
      </c>
      <c r="D582" s="26">
        <v>110000</v>
      </c>
      <c r="E582" s="2">
        <v>320330</v>
      </c>
      <c r="F582" s="2">
        <v>610410</v>
      </c>
      <c r="G582" s="32">
        <f>40127+1124</f>
        <v>41251</v>
      </c>
      <c r="H582" s="32">
        <f>40127+1124</f>
        <v>41251</v>
      </c>
    </row>
    <row r="583" spans="1:8" s="2" customFormat="1">
      <c r="A583" s="5" t="s">
        <v>1962</v>
      </c>
      <c r="B583" s="2" t="s">
        <v>599</v>
      </c>
      <c r="C583" s="2" t="s">
        <v>600</v>
      </c>
      <c r="D583" s="26">
        <v>110000</v>
      </c>
      <c r="E583" s="2">
        <v>320330</v>
      </c>
      <c r="F583" s="2">
        <v>610410</v>
      </c>
      <c r="G583" s="32">
        <f>23144+648</f>
        <v>23792</v>
      </c>
      <c r="H583" s="32">
        <f>23144+648</f>
        <v>23792</v>
      </c>
    </row>
    <row r="584" spans="1:8" s="2" customFormat="1">
      <c r="A584" s="5" t="s">
        <v>1963</v>
      </c>
      <c r="B584" s="2" t="s">
        <v>2980</v>
      </c>
      <c r="C584" s="2" t="s">
        <v>600</v>
      </c>
      <c r="D584" s="26">
        <v>110000</v>
      </c>
      <c r="E584" s="2">
        <v>320330</v>
      </c>
      <c r="F584" s="2">
        <v>610410</v>
      </c>
      <c r="G584" s="32">
        <f>28976+811</f>
        <v>29787</v>
      </c>
      <c r="H584" s="32">
        <f>28976+811</f>
        <v>29787</v>
      </c>
    </row>
    <row r="585" spans="1:8" s="2" customFormat="1">
      <c r="A585" s="5" t="s">
        <v>1964</v>
      </c>
      <c r="B585" s="2" t="s">
        <v>2914</v>
      </c>
      <c r="C585" s="2" t="s">
        <v>600</v>
      </c>
      <c r="D585" s="26">
        <v>110000</v>
      </c>
      <c r="E585" s="2">
        <v>320330</v>
      </c>
      <c r="F585" s="2">
        <v>610410</v>
      </c>
      <c r="G585" s="32">
        <f>13324+373</f>
        <v>13697</v>
      </c>
      <c r="H585" s="32">
        <f>13324+373</f>
        <v>13697</v>
      </c>
    </row>
    <row r="586" spans="1:8" s="2" customFormat="1">
      <c r="A586" s="5" t="s">
        <v>2915</v>
      </c>
      <c r="C586" s="2" t="s">
        <v>1611</v>
      </c>
      <c r="D586" s="26">
        <v>110000</v>
      </c>
      <c r="E586" s="2">
        <v>320330</v>
      </c>
      <c r="F586" s="2">
        <v>620000</v>
      </c>
      <c r="G586" s="32"/>
      <c r="H586" s="32"/>
    </row>
    <row r="587" spans="1:8" s="2" customFormat="1">
      <c r="A587" s="5" t="s">
        <v>2916</v>
      </c>
      <c r="C587" s="2" t="s">
        <v>2950</v>
      </c>
      <c r="D587" s="26">
        <v>110000</v>
      </c>
      <c r="E587" s="2">
        <v>320330</v>
      </c>
      <c r="F587" s="2">
        <v>610000</v>
      </c>
      <c r="G587" s="32"/>
      <c r="H587" s="32"/>
    </row>
    <row r="588" spans="1:8" s="2" customFormat="1">
      <c r="C588" s="2" t="s">
        <v>2951</v>
      </c>
      <c r="D588" s="26">
        <v>110000</v>
      </c>
      <c r="E588" s="2">
        <v>320330</v>
      </c>
      <c r="F588" s="2">
        <v>630000</v>
      </c>
      <c r="G588" s="32">
        <f>SUM(G582:G587)*0.2</f>
        <v>21705.4</v>
      </c>
      <c r="H588" s="32">
        <f>SUM(H582:H587)*0.2</f>
        <v>21705.4</v>
      </c>
    </row>
    <row r="589" spans="1:8" s="2" customFormat="1">
      <c r="C589" s="8" t="s">
        <v>1129</v>
      </c>
      <c r="D589" s="26"/>
      <c r="G589" s="32">
        <f>SUM(G582:G588)</f>
        <v>130232.4</v>
      </c>
      <c r="H589" s="32">
        <f>SUM(H582:H588)</f>
        <v>130232.4</v>
      </c>
    </row>
    <row r="590" spans="1:8" s="2" customFormat="1">
      <c r="C590" s="8" t="s">
        <v>2235</v>
      </c>
      <c r="D590" s="26"/>
      <c r="G590" s="32">
        <f>G589</f>
        <v>130232.4</v>
      </c>
      <c r="H590" s="32">
        <f>H589</f>
        <v>130232.4</v>
      </c>
    </row>
    <row r="591" spans="1:8" s="2" customFormat="1">
      <c r="A591" s="15"/>
      <c r="D591" s="26"/>
      <c r="G591" s="32"/>
      <c r="H591" s="32"/>
    </row>
    <row r="592" spans="1:8" s="2" customFormat="1">
      <c r="A592" s="6" t="s">
        <v>2564</v>
      </c>
      <c r="B592" s="2" t="s">
        <v>2965</v>
      </c>
      <c r="D592" s="26"/>
      <c r="G592" s="32"/>
      <c r="H592" s="32"/>
    </row>
    <row r="593" spans="1:8" s="2" customFormat="1">
      <c r="D593" s="26"/>
      <c r="G593" s="32"/>
      <c r="H593" s="32"/>
    </row>
    <row r="594" spans="1:8" s="2" customFormat="1">
      <c r="A594" s="5" t="s">
        <v>1935</v>
      </c>
      <c r="B594" s="2" t="s">
        <v>2840</v>
      </c>
      <c r="C594" s="2" t="s">
        <v>2212</v>
      </c>
      <c r="D594" s="26">
        <v>110000</v>
      </c>
      <c r="E594" s="2">
        <v>320340</v>
      </c>
      <c r="F594" s="2">
        <v>610410</v>
      </c>
      <c r="G594" s="32">
        <f>33455+937</f>
        <v>34392</v>
      </c>
      <c r="H594" s="32">
        <f>33455+937</f>
        <v>34392</v>
      </c>
    </row>
    <row r="595" spans="1:8" s="2" customFormat="1">
      <c r="A595" s="5" t="s">
        <v>1936</v>
      </c>
      <c r="C595" s="2" t="s">
        <v>2966</v>
      </c>
      <c r="D595" s="26">
        <v>110000</v>
      </c>
      <c r="E595" s="2">
        <v>320340</v>
      </c>
      <c r="F595" s="2">
        <v>610410</v>
      </c>
      <c r="G595" s="32">
        <v>29812</v>
      </c>
      <c r="H595" s="32">
        <v>29812</v>
      </c>
    </row>
    <row r="596" spans="1:8" s="2" customFormat="1">
      <c r="A596" s="5" t="s">
        <v>3140</v>
      </c>
      <c r="B596" s="2" t="s">
        <v>158</v>
      </c>
      <c r="C596" s="2" t="s">
        <v>2795</v>
      </c>
      <c r="D596" s="26">
        <v>110000</v>
      </c>
      <c r="E596" s="2">
        <v>320340</v>
      </c>
      <c r="F596" s="2">
        <v>610410</v>
      </c>
      <c r="G596" s="32">
        <f>15125+424</f>
        <v>15549</v>
      </c>
      <c r="H596" s="32">
        <f>15125+424</f>
        <v>15549</v>
      </c>
    </row>
    <row r="597" spans="1:8" s="2" customFormat="1">
      <c r="A597" s="5"/>
      <c r="D597" s="26">
        <v>110000</v>
      </c>
      <c r="E597" s="2">
        <v>611112</v>
      </c>
      <c r="F597" s="2">
        <v>610410</v>
      </c>
      <c r="G597" s="32">
        <f>5042+141</f>
        <v>5183</v>
      </c>
      <c r="H597" s="32"/>
    </row>
    <row r="598" spans="1:8" s="2" customFormat="1">
      <c r="A598" s="5"/>
      <c r="D598" s="26"/>
      <c r="E598" s="2" t="s">
        <v>2880</v>
      </c>
      <c r="G598" s="32">
        <f>SUM(G596:G597)</f>
        <v>20732</v>
      </c>
      <c r="H598" s="32">
        <f>SUM(H596:H597)</f>
        <v>15549</v>
      </c>
    </row>
    <row r="599" spans="1:8" s="2" customFormat="1">
      <c r="A599" s="5" t="s">
        <v>1937</v>
      </c>
      <c r="B599" s="2" t="s">
        <v>1832</v>
      </c>
      <c r="C599" s="2" t="s">
        <v>1833</v>
      </c>
      <c r="D599" s="26">
        <v>110000</v>
      </c>
      <c r="E599" s="2">
        <v>320340</v>
      </c>
      <c r="F599" s="2">
        <v>610410</v>
      </c>
      <c r="G599" s="32">
        <f>21645+606</f>
        <v>22251</v>
      </c>
      <c r="H599" s="32">
        <f>21645+606</f>
        <v>22251</v>
      </c>
    </row>
    <row r="600" spans="1:8" s="2" customFormat="1">
      <c r="A600" s="5" t="s">
        <v>1834</v>
      </c>
      <c r="C600" s="2" t="s">
        <v>1611</v>
      </c>
      <c r="D600" s="26">
        <v>110000</v>
      </c>
      <c r="E600" s="2">
        <v>320340</v>
      </c>
      <c r="F600" s="2">
        <v>620000</v>
      </c>
      <c r="G600" s="32"/>
      <c r="H600" s="32"/>
    </row>
    <row r="601" spans="1:8" s="2" customFormat="1">
      <c r="A601" s="5" t="s">
        <v>1835</v>
      </c>
      <c r="C601" s="2" t="s">
        <v>2950</v>
      </c>
      <c r="D601" s="26">
        <v>110000</v>
      </c>
      <c r="E601" s="2">
        <v>320340</v>
      </c>
      <c r="F601" s="2">
        <v>610000</v>
      </c>
      <c r="G601" s="32"/>
      <c r="H601" s="32"/>
    </row>
    <row r="602" spans="1:8" s="2" customFormat="1">
      <c r="C602" s="2" t="s">
        <v>2951</v>
      </c>
      <c r="D602" s="26">
        <v>110000</v>
      </c>
      <c r="E602" s="2">
        <v>320340</v>
      </c>
      <c r="F602" s="2">
        <v>630000</v>
      </c>
      <c r="G602" s="32">
        <f>(SUM(G594:G601)-G598)*0.22</f>
        <v>23581.14</v>
      </c>
      <c r="H602" s="32">
        <f>(SUM(H594:H601)-H598)*0.22</f>
        <v>22440.880000000001</v>
      </c>
    </row>
    <row r="603" spans="1:8" s="2" customFormat="1">
      <c r="C603" s="8" t="s">
        <v>1129</v>
      </c>
      <c r="D603" s="26"/>
      <c r="G603" s="32">
        <f>SUM(G594:G602)-G598</f>
        <v>130768.14000000001</v>
      </c>
      <c r="H603" s="32">
        <f>SUM(H594:H602)-H598</f>
        <v>124444.88</v>
      </c>
    </row>
    <row r="604" spans="1:8" s="2" customFormat="1">
      <c r="C604" s="8" t="s">
        <v>2235</v>
      </c>
      <c r="D604" s="26"/>
      <c r="G604" s="32">
        <f>G603</f>
        <v>130768.14000000001</v>
      </c>
      <c r="H604" s="32">
        <f>H603</f>
        <v>124444.88</v>
      </c>
    </row>
    <row r="605" spans="1:8" s="2" customFormat="1">
      <c r="D605" s="26"/>
      <c r="G605" s="32"/>
      <c r="H605" s="32"/>
    </row>
    <row r="606" spans="1:8" s="2" customFormat="1">
      <c r="A606" s="6" t="s">
        <v>2571</v>
      </c>
      <c r="B606" s="2" t="s">
        <v>2702</v>
      </c>
      <c r="D606" s="26"/>
      <c r="G606" s="32"/>
      <c r="H606" s="32"/>
    </row>
    <row r="607" spans="1:8" s="2" customFormat="1">
      <c r="D607" s="26"/>
      <c r="G607" s="32"/>
      <c r="H607" s="32"/>
    </row>
    <row r="608" spans="1:8" s="2" customFormat="1">
      <c r="A608" s="5" t="s">
        <v>1653</v>
      </c>
      <c r="B608" s="2" t="s">
        <v>2703</v>
      </c>
      <c r="C608" s="2" t="s">
        <v>1489</v>
      </c>
      <c r="D608" s="26">
        <v>110000</v>
      </c>
      <c r="E608" s="2">
        <v>320350</v>
      </c>
      <c r="F608" s="2">
        <v>610410</v>
      </c>
      <c r="G608" s="32">
        <f>32563+912</f>
        <v>33475</v>
      </c>
      <c r="H608" s="32">
        <f>32563+912</f>
        <v>33475</v>
      </c>
    </row>
    <row r="609" spans="1:8" s="2" customFormat="1">
      <c r="A609" s="5" t="s">
        <v>1654</v>
      </c>
      <c r="B609" s="2" t="s">
        <v>2704</v>
      </c>
      <c r="C609" s="2" t="s">
        <v>1198</v>
      </c>
      <c r="D609" s="26">
        <v>110000</v>
      </c>
      <c r="E609" s="2">
        <v>320350</v>
      </c>
      <c r="F609" s="2">
        <v>610410</v>
      </c>
      <c r="G609" s="32">
        <f>21392+599</f>
        <v>21991</v>
      </c>
      <c r="H609" s="32">
        <f>21392+599</f>
        <v>21991</v>
      </c>
    </row>
    <row r="610" spans="1:8" s="2" customFormat="1">
      <c r="A610" s="5" t="s">
        <v>1655</v>
      </c>
      <c r="B610" s="2" t="s">
        <v>1199</v>
      </c>
      <c r="C610" s="2" t="s">
        <v>1200</v>
      </c>
      <c r="D610" s="26">
        <v>110000</v>
      </c>
      <c r="E610" s="2">
        <v>320350</v>
      </c>
      <c r="F610" s="2">
        <v>610410</v>
      </c>
      <c r="G610" s="32">
        <f>16764+469</f>
        <v>17233</v>
      </c>
      <c r="H610" s="32">
        <f>16764+469</f>
        <v>17233</v>
      </c>
    </row>
    <row r="611" spans="1:8" s="2" customFormat="1">
      <c r="A611" s="5" t="s">
        <v>1656</v>
      </c>
      <c r="B611" s="2" t="s">
        <v>2737</v>
      </c>
      <c r="C611" s="2" t="s">
        <v>1201</v>
      </c>
      <c r="D611" s="26">
        <v>110000</v>
      </c>
      <c r="E611" s="2">
        <v>320350</v>
      </c>
      <c r="F611" s="2">
        <v>610410</v>
      </c>
      <c r="G611" s="32">
        <f>15875+445</f>
        <v>16320</v>
      </c>
      <c r="H611" s="32">
        <f>15875+445</f>
        <v>16320</v>
      </c>
    </row>
    <row r="612" spans="1:8" s="2" customFormat="1">
      <c r="A612" s="5" t="s">
        <v>1657</v>
      </c>
      <c r="C612" s="2" t="s">
        <v>1201</v>
      </c>
      <c r="D612" s="26">
        <v>110000</v>
      </c>
      <c r="E612" s="2">
        <v>320350</v>
      </c>
      <c r="F612" s="2">
        <v>610410</v>
      </c>
      <c r="G612" s="32">
        <f>11870+332</f>
        <v>12202</v>
      </c>
      <c r="H612" s="32">
        <f>11870+332</f>
        <v>12202</v>
      </c>
    </row>
    <row r="613" spans="1:8" s="2" customFormat="1">
      <c r="A613" s="5" t="s">
        <v>1658</v>
      </c>
      <c r="C613" s="2" t="s">
        <v>1201</v>
      </c>
      <c r="D613" s="26">
        <v>110000</v>
      </c>
      <c r="E613" s="2">
        <v>320350</v>
      </c>
      <c r="F613" s="2">
        <v>610410</v>
      </c>
      <c r="G613" s="32">
        <v>11871</v>
      </c>
      <c r="H613" s="32">
        <v>11871</v>
      </c>
    </row>
    <row r="614" spans="1:8" s="2" customFormat="1">
      <c r="A614" s="5" t="s">
        <v>1659</v>
      </c>
      <c r="C614" s="2" t="s">
        <v>2736</v>
      </c>
      <c r="D614" s="26">
        <v>110000</v>
      </c>
      <c r="E614" s="2">
        <v>320350</v>
      </c>
      <c r="F614" s="2">
        <v>610410</v>
      </c>
      <c r="G614" s="32">
        <f>11199+314</f>
        <v>11513</v>
      </c>
      <c r="H614" s="32">
        <f>11199+314</f>
        <v>11513</v>
      </c>
    </row>
    <row r="615" spans="1:8" s="2" customFormat="1">
      <c r="A615" s="5" t="s">
        <v>1660</v>
      </c>
      <c r="C615" s="2" t="s">
        <v>2736</v>
      </c>
      <c r="D615" s="26">
        <v>110000</v>
      </c>
      <c r="E615" s="2">
        <v>320350</v>
      </c>
      <c r="F615" s="2">
        <v>610410</v>
      </c>
      <c r="G615" s="32">
        <v>11055</v>
      </c>
      <c r="H615" s="32">
        <v>11055</v>
      </c>
    </row>
    <row r="616" spans="1:8" s="2" customFormat="1">
      <c r="A616" s="5" t="s">
        <v>1661</v>
      </c>
      <c r="B616" s="2" t="s">
        <v>868</v>
      </c>
      <c r="C616" s="2" t="s">
        <v>2736</v>
      </c>
      <c r="D616" s="26">
        <v>110000</v>
      </c>
      <c r="E616" s="2">
        <v>320350</v>
      </c>
      <c r="F616" s="2">
        <v>610410</v>
      </c>
      <c r="G616" s="32">
        <f>11055+310</f>
        <v>11365</v>
      </c>
      <c r="H616" s="32">
        <f>11055+310</f>
        <v>11365</v>
      </c>
    </row>
    <row r="617" spans="1:8" s="2" customFormat="1">
      <c r="A617" s="5" t="s">
        <v>1662</v>
      </c>
      <c r="B617" s="2" t="s">
        <v>2997</v>
      </c>
      <c r="C617" s="2" t="s">
        <v>2736</v>
      </c>
      <c r="D617" s="26">
        <v>110000</v>
      </c>
      <c r="E617" s="2">
        <v>320350</v>
      </c>
      <c r="F617" s="2">
        <v>610410</v>
      </c>
      <c r="G617" s="32">
        <f>11870+332</f>
        <v>12202</v>
      </c>
      <c r="H617" s="32">
        <f>11870+332</f>
        <v>12202</v>
      </c>
    </row>
    <row r="618" spans="1:8" s="2" customFormat="1">
      <c r="A618" s="5" t="s">
        <v>1663</v>
      </c>
      <c r="C618" s="2" t="s">
        <v>2738</v>
      </c>
      <c r="D618" s="26">
        <v>110000</v>
      </c>
      <c r="E618" s="2">
        <v>320350</v>
      </c>
      <c r="F618" s="2">
        <v>610410</v>
      </c>
      <c r="G618" s="32">
        <v>11365</v>
      </c>
      <c r="H618" s="32">
        <v>11365</v>
      </c>
    </row>
    <row r="619" spans="1:8" s="2" customFormat="1">
      <c r="A619" s="5" t="s">
        <v>1664</v>
      </c>
      <c r="C619" s="2" t="s">
        <v>2736</v>
      </c>
      <c r="D619" s="26">
        <v>110000</v>
      </c>
      <c r="E619" s="2">
        <v>320350</v>
      </c>
      <c r="F619" s="2">
        <v>610410</v>
      </c>
      <c r="G619" s="32">
        <f>11199+314</f>
        <v>11513</v>
      </c>
      <c r="H619" s="32">
        <f>11199+314</f>
        <v>11513</v>
      </c>
    </row>
    <row r="620" spans="1:8" s="2" customFormat="1">
      <c r="A620" s="5" t="s">
        <v>1665</v>
      </c>
      <c r="B620" s="2" t="s">
        <v>2739</v>
      </c>
      <c r="C620" s="2" t="s">
        <v>2736</v>
      </c>
      <c r="D620" s="26">
        <v>110000</v>
      </c>
      <c r="E620" s="2">
        <v>320350</v>
      </c>
      <c r="F620" s="2">
        <v>610410</v>
      </c>
      <c r="G620" s="32">
        <f>11199+314</f>
        <v>11513</v>
      </c>
      <c r="H620" s="32">
        <f>11199+314</f>
        <v>11513</v>
      </c>
    </row>
    <row r="621" spans="1:8" s="2" customFormat="1">
      <c r="A621" s="5" t="s">
        <v>2740</v>
      </c>
      <c r="C621" s="2" t="s">
        <v>1611</v>
      </c>
      <c r="D621" s="26">
        <v>110000</v>
      </c>
      <c r="E621" s="2">
        <v>320350</v>
      </c>
      <c r="F621" s="2">
        <v>620000</v>
      </c>
      <c r="G621" s="32">
        <v>15450</v>
      </c>
      <c r="H621" s="32">
        <v>15450</v>
      </c>
    </row>
    <row r="622" spans="1:8" s="2" customFormat="1">
      <c r="A622" s="5" t="s">
        <v>2741</v>
      </c>
      <c r="C622" s="2" t="s">
        <v>2950</v>
      </c>
      <c r="D622" s="26">
        <v>110000</v>
      </c>
      <c r="E622" s="2">
        <v>320350</v>
      </c>
      <c r="F622" s="2">
        <v>610000</v>
      </c>
      <c r="G622" s="32"/>
      <c r="H622" s="32"/>
    </row>
    <row r="623" spans="1:8" s="2" customFormat="1">
      <c r="C623" s="2" t="s">
        <v>2951</v>
      </c>
      <c r="D623" s="26">
        <v>110000</v>
      </c>
      <c r="E623" s="2">
        <v>320350</v>
      </c>
      <c r="F623" s="2">
        <v>630000</v>
      </c>
      <c r="G623" s="32">
        <f>SUM(G608:G622)*0.21-375</f>
        <v>43529.279999999999</v>
      </c>
      <c r="H623" s="32">
        <f>SUM(H608:H622)*0.21-375</f>
        <v>43529.279999999999</v>
      </c>
    </row>
    <row r="624" spans="1:8" s="2" customFormat="1">
      <c r="C624" s="8" t="s">
        <v>1129</v>
      </c>
      <c r="D624" s="26"/>
      <c r="G624" s="32">
        <f>SUM(G608:G623)</f>
        <v>252597.28</v>
      </c>
      <c r="H624" s="32">
        <f>SUM(H608:H623)</f>
        <v>252597.28</v>
      </c>
    </row>
    <row r="625" spans="1:8" s="2" customFormat="1">
      <c r="C625" s="8" t="s">
        <v>2235</v>
      </c>
      <c r="D625" s="26"/>
      <c r="G625" s="32">
        <f>G624</f>
        <v>252597.28</v>
      </c>
      <c r="H625" s="32">
        <f>H624</f>
        <v>252597.28</v>
      </c>
    </row>
    <row r="626" spans="1:8" s="2" customFormat="1">
      <c r="D626" s="26"/>
      <c r="G626" s="32"/>
      <c r="H626" s="32"/>
    </row>
    <row r="627" spans="1:8" s="2" customFormat="1">
      <c r="A627" s="6" t="s">
        <v>2567</v>
      </c>
      <c r="B627" s="2" t="s">
        <v>2839</v>
      </c>
      <c r="D627" s="26"/>
      <c r="G627" s="32"/>
      <c r="H627" s="32"/>
    </row>
    <row r="628" spans="1:8" s="2" customFormat="1">
      <c r="D628" s="26"/>
      <c r="G628" s="32"/>
      <c r="H628" s="32"/>
    </row>
    <row r="629" spans="1:8" s="2" customFormat="1">
      <c r="A629" s="5" t="s">
        <v>1942</v>
      </c>
      <c r="B629" s="2" t="s">
        <v>2996</v>
      </c>
      <c r="C629" s="2" t="s">
        <v>996</v>
      </c>
      <c r="D629" s="26">
        <v>110000</v>
      </c>
      <c r="E629" s="2">
        <v>320360</v>
      </c>
      <c r="F629" s="2">
        <v>610410</v>
      </c>
      <c r="G629" s="32">
        <v>28416</v>
      </c>
      <c r="H629" s="32">
        <v>28416</v>
      </c>
    </row>
    <row r="630" spans="1:8" s="2" customFormat="1">
      <c r="A630" s="5" t="s">
        <v>1943</v>
      </c>
      <c r="B630" s="2" t="s">
        <v>997</v>
      </c>
      <c r="C630" s="2" t="s">
        <v>998</v>
      </c>
      <c r="D630" s="26">
        <v>110000</v>
      </c>
      <c r="E630" s="2">
        <v>320360</v>
      </c>
      <c r="F630" s="2">
        <v>610410</v>
      </c>
      <c r="G630" s="32">
        <f>23608+661</f>
        <v>24269</v>
      </c>
      <c r="H630" s="32">
        <f>23608+661</f>
        <v>24269</v>
      </c>
    </row>
    <row r="631" spans="1:8" s="2" customFormat="1">
      <c r="A631" s="5" t="s">
        <v>1944</v>
      </c>
      <c r="B631" s="2" t="s">
        <v>999</v>
      </c>
      <c r="C631" s="2" t="s">
        <v>1000</v>
      </c>
      <c r="D631" s="26">
        <v>110000</v>
      </c>
      <c r="E631" s="2">
        <v>320360</v>
      </c>
      <c r="F631" s="2">
        <v>610410</v>
      </c>
      <c r="G631" s="32">
        <f>13195+369</f>
        <v>13564</v>
      </c>
      <c r="H631" s="32">
        <f>13195+369</f>
        <v>13564</v>
      </c>
    </row>
    <row r="632" spans="1:8" s="2" customFormat="1">
      <c r="A632" s="5" t="s">
        <v>1945</v>
      </c>
      <c r="B632" s="2" t="s">
        <v>1001</v>
      </c>
      <c r="C632" s="2" t="s">
        <v>1002</v>
      </c>
      <c r="D632" s="26">
        <v>110000</v>
      </c>
      <c r="E632" s="2">
        <v>320360</v>
      </c>
      <c r="F632" s="2">
        <v>610410</v>
      </c>
      <c r="G632" s="32">
        <f>20167+565</f>
        <v>20732</v>
      </c>
      <c r="H632" s="32">
        <f>20167+565</f>
        <v>20732</v>
      </c>
    </row>
    <row r="633" spans="1:8" s="2" customFormat="1">
      <c r="A633" s="5" t="s">
        <v>1946</v>
      </c>
      <c r="C633" s="2" t="s">
        <v>1002</v>
      </c>
      <c r="D633" s="26">
        <v>110000</v>
      </c>
      <c r="E633" s="2">
        <v>320360</v>
      </c>
      <c r="F633" s="2">
        <v>610410</v>
      </c>
      <c r="G633" s="32">
        <v>13745</v>
      </c>
      <c r="H633" s="32">
        <v>13745</v>
      </c>
    </row>
    <row r="634" spans="1:8" s="2" customFormat="1">
      <c r="A634" s="5" t="s">
        <v>1947</v>
      </c>
      <c r="B634" s="2" t="s">
        <v>1512</v>
      </c>
      <c r="C634" s="2" t="s">
        <v>250</v>
      </c>
      <c r="D634" s="26">
        <v>110000</v>
      </c>
      <c r="E634" s="2">
        <v>320360</v>
      </c>
      <c r="F634" s="2">
        <v>610410</v>
      </c>
      <c r="G634" s="32">
        <f>24744+693</f>
        <v>25437</v>
      </c>
      <c r="H634" s="32">
        <f>24744+693</f>
        <v>25437</v>
      </c>
    </row>
    <row r="635" spans="1:8" s="2" customFormat="1">
      <c r="A635" s="5" t="s">
        <v>1948</v>
      </c>
      <c r="B635" s="2" t="s">
        <v>251</v>
      </c>
      <c r="C635" s="2" t="s">
        <v>1000</v>
      </c>
      <c r="D635" s="26">
        <v>110000</v>
      </c>
      <c r="E635" s="2">
        <v>320360</v>
      </c>
      <c r="F635" s="2">
        <v>610410</v>
      </c>
      <c r="G635" s="32">
        <f>24313+681</f>
        <v>24994</v>
      </c>
      <c r="H635" s="32">
        <f>24313+681</f>
        <v>24994</v>
      </c>
    </row>
    <row r="636" spans="1:8" s="2" customFormat="1">
      <c r="A636" s="5" t="s">
        <v>1949</v>
      </c>
      <c r="B636" s="2" t="s">
        <v>252</v>
      </c>
      <c r="C636" s="2" t="s">
        <v>253</v>
      </c>
      <c r="D636" s="26">
        <v>110000</v>
      </c>
      <c r="E636" s="2">
        <v>320360</v>
      </c>
      <c r="F636" s="2">
        <v>610410</v>
      </c>
      <c r="G636" s="32">
        <f>20167+565</f>
        <v>20732</v>
      </c>
      <c r="H636" s="32">
        <f>20167+565</f>
        <v>20732</v>
      </c>
    </row>
    <row r="637" spans="1:8" s="2" customFormat="1">
      <c r="A637" s="5" t="s">
        <v>1950</v>
      </c>
      <c r="B637" s="2" t="s">
        <v>254</v>
      </c>
      <c r="C637" s="2" t="s">
        <v>1000</v>
      </c>
      <c r="D637" s="26">
        <v>110000</v>
      </c>
      <c r="E637" s="2">
        <v>320360</v>
      </c>
      <c r="F637" s="2">
        <v>610410</v>
      </c>
      <c r="G637" s="32">
        <f>25617+717</f>
        <v>26334</v>
      </c>
      <c r="H637" s="32">
        <f>25617+717</f>
        <v>26334</v>
      </c>
    </row>
    <row r="638" spans="1:8" s="2" customFormat="1">
      <c r="A638" s="5" t="s">
        <v>1951</v>
      </c>
      <c r="B638" s="2" t="s">
        <v>255</v>
      </c>
      <c r="C638" s="2" t="s">
        <v>1002</v>
      </c>
      <c r="D638" s="26">
        <v>110000</v>
      </c>
      <c r="E638" s="2">
        <v>320360</v>
      </c>
      <c r="F638" s="2">
        <v>610410</v>
      </c>
      <c r="G638" s="32">
        <f>24199+678</f>
        <v>24877</v>
      </c>
      <c r="H638" s="32">
        <f>24199+678</f>
        <v>24877</v>
      </c>
    </row>
    <row r="639" spans="1:8" s="2" customFormat="1">
      <c r="A639" s="5" t="s">
        <v>1952</v>
      </c>
      <c r="B639" s="2" t="s">
        <v>256</v>
      </c>
      <c r="C639" s="2" t="s">
        <v>998</v>
      </c>
      <c r="D639" s="26">
        <v>110000</v>
      </c>
      <c r="E639" s="2">
        <v>320360</v>
      </c>
      <c r="F639" s="2">
        <v>610410</v>
      </c>
      <c r="G639" s="32">
        <f>23609+661</f>
        <v>24270</v>
      </c>
      <c r="H639" s="32">
        <f>23609+661</f>
        <v>24270</v>
      </c>
    </row>
    <row r="640" spans="1:8" s="2" customFormat="1">
      <c r="A640" s="5" t="s">
        <v>1953</v>
      </c>
      <c r="B640" s="2" t="s">
        <v>2887</v>
      </c>
      <c r="C640" s="2" t="s">
        <v>250</v>
      </c>
      <c r="D640" s="26">
        <v>110000</v>
      </c>
      <c r="E640" s="2">
        <v>320360</v>
      </c>
      <c r="F640" s="2">
        <v>610410</v>
      </c>
      <c r="G640" s="32">
        <f>25617+717</f>
        <v>26334</v>
      </c>
      <c r="H640" s="32">
        <f>25617+717</f>
        <v>26334</v>
      </c>
    </row>
    <row r="641" spans="1:8" s="2" customFormat="1">
      <c r="A641" s="5" t="s">
        <v>1954</v>
      </c>
      <c r="B641" s="2" t="s">
        <v>2276</v>
      </c>
      <c r="C641" s="2" t="s">
        <v>2277</v>
      </c>
      <c r="D641" s="26">
        <v>110000</v>
      </c>
      <c r="E641" s="2">
        <v>320360</v>
      </c>
      <c r="F641" s="2">
        <v>610410</v>
      </c>
      <c r="G641" s="32">
        <f>21990+616</f>
        <v>22606</v>
      </c>
      <c r="H641" s="32">
        <f>21990+616</f>
        <v>22606</v>
      </c>
    </row>
    <row r="642" spans="1:8" s="2" customFormat="1">
      <c r="A642" s="5" t="s">
        <v>1955</v>
      </c>
      <c r="B642" s="2" t="s">
        <v>2278</v>
      </c>
      <c r="C642" s="2" t="s">
        <v>2277</v>
      </c>
      <c r="D642" s="26">
        <v>110000</v>
      </c>
      <c r="E642" s="2">
        <v>320360</v>
      </c>
      <c r="F642" s="2">
        <v>610410</v>
      </c>
      <c r="G642" s="32">
        <f>20167+565</f>
        <v>20732</v>
      </c>
      <c r="H642" s="32">
        <f>20167+565</f>
        <v>20732</v>
      </c>
    </row>
    <row r="643" spans="1:8" s="2" customFormat="1">
      <c r="A643" s="5" t="s">
        <v>1956</v>
      </c>
      <c r="B643" s="2" t="s">
        <v>1812</v>
      </c>
      <c r="C643" s="2" t="s">
        <v>2277</v>
      </c>
      <c r="D643" s="26">
        <v>110000</v>
      </c>
      <c r="E643" s="2">
        <v>320360</v>
      </c>
      <c r="F643" s="2">
        <v>610410</v>
      </c>
      <c r="G643" s="32">
        <f>22074+618</f>
        <v>22692</v>
      </c>
      <c r="H643" s="32">
        <f>22074+618</f>
        <v>22692</v>
      </c>
    </row>
    <row r="644" spans="1:8" s="2" customFormat="1">
      <c r="A644" s="5" t="s">
        <v>1957</v>
      </c>
      <c r="B644" s="2" t="s">
        <v>245</v>
      </c>
      <c r="C644" s="2" t="s">
        <v>2277</v>
      </c>
      <c r="D644" s="26">
        <v>110000</v>
      </c>
      <c r="E644" s="2">
        <v>320360</v>
      </c>
      <c r="F644" s="2">
        <v>610410</v>
      </c>
      <c r="G644" s="32">
        <f>21991+616</f>
        <v>22607</v>
      </c>
      <c r="H644" s="32">
        <f>21991+616</f>
        <v>22607</v>
      </c>
    </row>
    <row r="645" spans="1:8" s="2" customFormat="1">
      <c r="A645" s="5" t="s">
        <v>1958</v>
      </c>
      <c r="B645" s="2" t="s">
        <v>246</v>
      </c>
      <c r="C645" s="2" t="s">
        <v>2277</v>
      </c>
      <c r="D645" s="26">
        <v>110000</v>
      </c>
      <c r="E645" s="2">
        <v>320360</v>
      </c>
      <c r="F645" s="2">
        <v>610410</v>
      </c>
      <c r="G645" s="32">
        <f>20167+565</f>
        <v>20732</v>
      </c>
      <c r="H645" s="32">
        <f>20167+565</f>
        <v>20732</v>
      </c>
    </row>
    <row r="646" spans="1:8" s="2" customFormat="1">
      <c r="A646" s="5" t="s">
        <v>1959</v>
      </c>
      <c r="B646" s="2" t="s">
        <v>247</v>
      </c>
      <c r="C646" s="2" t="s">
        <v>2277</v>
      </c>
      <c r="D646" s="26">
        <v>110000</v>
      </c>
      <c r="E646" s="2">
        <v>320360</v>
      </c>
      <c r="F646" s="2">
        <v>610410</v>
      </c>
      <c r="G646" s="32">
        <f>24792+694</f>
        <v>25486</v>
      </c>
      <c r="H646" s="32">
        <f>24792+694</f>
        <v>25486</v>
      </c>
    </row>
    <row r="647" spans="1:8" s="2" customFormat="1">
      <c r="A647" s="5" t="s">
        <v>1960</v>
      </c>
      <c r="B647" s="2" t="s">
        <v>593</v>
      </c>
      <c r="C647" s="2" t="s">
        <v>2277</v>
      </c>
      <c r="D647" s="26">
        <v>110000</v>
      </c>
      <c r="E647" s="2">
        <v>320360</v>
      </c>
      <c r="F647" s="2">
        <v>610410</v>
      </c>
      <c r="G647" s="32">
        <f>24199+678</f>
        <v>24877</v>
      </c>
      <c r="H647" s="32">
        <f>24199+678</f>
        <v>24877</v>
      </c>
    </row>
    <row r="648" spans="1:8" s="2" customFormat="1">
      <c r="A648" s="5" t="s">
        <v>594</v>
      </c>
      <c r="C648" s="2" t="s">
        <v>1611</v>
      </c>
      <c r="D648" s="26">
        <v>110000</v>
      </c>
      <c r="E648" s="2">
        <v>320360</v>
      </c>
      <c r="F648" s="2">
        <v>620000</v>
      </c>
      <c r="G648" s="32"/>
      <c r="H648" s="32"/>
    </row>
    <row r="649" spans="1:8" s="2" customFormat="1">
      <c r="A649" s="5" t="s">
        <v>595</v>
      </c>
      <c r="C649" s="2" t="s">
        <v>2950</v>
      </c>
      <c r="D649" s="26">
        <v>110000</v>
      </c>
      <c r="E649" s="2">
        <v>320360</v>
      </c>
      <c r="F649" s="2">
        <v>610000</v>
      </c>
      <c r="G649" s="32"/>
      <c r="H649" s="32"/>
    </row>
    <row r="650" spans="1:8" s="2" customFormat="1">
      <c r="C650" s="2" t="s">
        <v>2951</v>
      </c>
      <c r="D650" s="26">
        <v>110000</v>
      </c>
      <c r="E650" s="2">
        <v>320360</v>
      </c>
      <c r="F650" s="2">
        <v>630000</v>
      </c>
      <c r="G650" s="32">
        <f>SUM(G629:G649)*0.22+2297+3124</f>
        <v>100776.92</v>
      </c>
      <c r="H650" s="32">
        <f>SUM(H629:H649)*0.22+2297+3124</f>
        <v>100776.92</v>
      </c>
    </row>
    <row r="651" spans="1:8" s="2" customFormat="1">
      <c r="C651" s="8" t="s">
        <v>1129</v>
      </c>
      <c r="D651" s="26"/>
      <c r="G651" s="32">
        <f>SUM(G629:G650)</f>
        <v>534212.92000000004</v>
      </c>
      <c r="H651" s="32">
        <f>SUM(H629:H650)</f>
        <v>534212.92000000004</v>
      </c>
    </row>
    <row r="652" spans="1:8" s="2" customFormat="1">
      <c r="C652" s="8" t="s">
        <v>2235</v>
      </c>
      <c r="D652" s="26"/>
      <c r="G652" s="32">
        <f>G651</f>
        <v>534212.92000000004</v>
      </c>
      <c r="H652" s="32">
        <f>H651</f>
        <v>534212.92000000004</v>
      </c>
    </row>
    <row r="653" spans="1:8" s="2" customFormat="1">
      <c r="D653" s="26"/>
      <c r="G653" s="32"/>
      <c r="H653" s="32"/>
    </row>
    <row r="654" spans="1:8" s="2" customFormat="1">
      <c r="A654" s="6" t="s">
        <v>2563</v>
      </c>
      <c r="B654" s="2" t="s">
        <v>1506</v>
      </c>
      <c r="D654" s="26"/>
      <c r="G654" s="32"/>
      <c r="H654" s="32"/>
    </row>
    <row r="655" spans="1:8" s="2" customFormat="1">
      <c r="A655" s="8"/>
      <c r="D655" s="26"/>
      <c r="G655" s="32"/>
      <c r="H655" s="32"/>
    </row>
    <row r="656" spans="1:8" s="2" customFormat="1">
      <c r="A656" s="8"/>
      <c r="C656" s="2" t="s">
        <v>2234</v>
      </c>
      <c r="D656" s="26">
        <v>110000</v>
      </c>
      <c r="E656" s="2">
        <v>320370</v>
      </c>
      <c r="F656" s="2">
        <v>710000</v>
      </c>
      <c r="G656" s="32">
        <v>216237</v>
      </c>
      <c r="H656" s="32">
        <v>216237</v>
      </c>
    </row>
    <row r="657" spans="1:8" s="2" customFormat="1" ht="12.75">
      <c r="A657" s="8"/>
      <c r="C657" s="8" t="s">
        <v>2235</v>
      </c>
      <c r="D657" s="26"/>
      <c r="E657"/>
      <c r="F657"/>
      <c r="G657" s="32">
        <f>G656</f>
        <v>216237</v>
      </c>
      <c r="H657" s="32">
        <f>H656</f>
        <v>216237</v>
      </c>
    </row>
    <row r="658" spans="1:8" s="2" customFormat="1">
      <c r="A658" s="8"/>
      <c r="D658" s="26"/>
      <c r="G658" s="32"/>
      <c r="H658" s="32"/>
    </row>
    <row r="659" spans="1:8" s="2" customFormat="1">
      <c r="A659" s="6" t="s">
        <v>2563</v>
      </c>
      <c r="B659" s="2" t="s">
        <v>1601</v>
      </c>
      <c r="D659" s="26"/>
      <c r="G659" s="32"/>
      <c r="H659" s="32"/>
    </row>
    <row r="660" spans="1:8" s="2" customFormat="1">
      <c r="D660" s="26"/>
      <c r="G660" s="32"/>
      <c r="H660" s="32"/>
    </row>
    <row r="661" spans="1:8" s="2" customFormat="1">
      <c r="A661" s="5" t="s">
        <v>1932</v>
      </c>
      <c r="B661" s="2" t="s">
        <v>1602</v>
      </c>
      <c r="C661" s="2" t="s">
        <v>2212</v>
      </c>
      <c r="D661" s="26">
        <v>110000</v>
      </c>
      <c r="E661" s="2">
        <v>320370</v>
      </c>
      <c r="F661" s="2">
        <v>610410</v>
      </c>
      <c r="G661" s="32">
        <f>48278+1352</f>
        <v>49630</v>
      </c>
      <c r="H661" s="32">
        <f>48278+1352</f>
        <v>49630</v>
      </c>
    </row>
    <row r="662" spans="1:8" s="2" customFormat="1">
      <c r="A662" s="5" t="s">
        <v>1933</v>
      </c>
      <c r="B662" s="2" t="s">
        <v>1511</v>
      </c>
      <c r="C662" s="2" t="s">
        <v>1489</v>
      </c>
      <c r="D662" s="26">
        <v>110000</v>
      </c>
      <c r="E662" s="2">
        <v>320370</v>
      </c>
      <c r="F662" s="2">
        <v>610410</v>
      </c>
      <c r="G662" s="32">
        <f>33843+948</f>
        <v>34791</v>
      </c>
      <c r="H662" s="32">
        <f>33843+948</f>
        <v>34791</v>
      </c>
    </row>
    <row r="663" spans="1:8" s="2" customFormat="1">
      <c r="A663" s="5" t="s">
        <v>1934</v>
      </c>
      <c r="B663" s="2" t="s">
        <v>2962</v>
      </c>
      <c r="C663" s="2" t="s">
        <v>43</v>
      </c>
      <c r="D663" s="26">
        <v>110000</v>
      </c>
      <c r="E663" s="2">
        <v>320370</v>
      </c>
      <c r="F663" s="2">
        <v>610410</v>
      </c>
      <c r="G663" s="32">
        <f>21602+605</f>
        <v>22207</v>
      </c>
      <c r="H663" s="32">
        <f>21602+605</f>
        <v>22207</v>
      </c>
    </row>
    <row r="664" spans="1:8" s="2" customFormat="1">
      <c r="A664" s="5" t="s">
        <v>2963</v>
      </c>
      <c r="C664" s="2" t="s">
        <v>1611</v>
      </c>
      <c r="D664" s="26">
        <v>110000</v>
      </c>
      <c r="E664" s="2">
        <v>320370</v>
      </c>
      <c r="F664" s="2">
        <v>620000</v>
      </c>
      <c r="G664" s="32"/>
      <c r="H664" s="32"/>
    </row>
    <row r="665" spans="1:8" s="2" customFormat="1">
      <c r="A665" s="5" t="s">
        <v>2964</v>
      </c>
      <c r="C665" s="2" t="s">
        <v>2950</v>
      </c>
      <c r="D665" s="26">
        <v>110000</v>
      </c>
      <c r="E665" s="2">
        <v>320370</v>
      </c>
      <c r="F665" s="2">
        <v>610000</v>
      </c>
      <c r="G665" s="32"/>
      <c r="H665" s="32"/>
    </row>
    <row r="666" spans="1:8" s="2" customFormat="1">
      <c r="C666" s="2" t="s">
        <v>2951</v>
      </c>
      <c r="D666" s="26">
        <v>110000</v>
      </c>
      <c r="E666" s="2">
        <v>320370</v>
      </c>
      <c r="F666" s="2">
        <v>630000</v>
      </c>
      <c r="G666" s="32">
        <f>SUM(G661:G665)*0.21</f>
        <v>22391.879999999997</v>
      </c>
      <c r="H666" s="32">
        <f>SUM(H661:H665)*0.21</f>
        <v>22391.879999999997</v>
      </c>
    </row>
    <row r="667" spans="1:8" s="2" customFormat="1">
      <c r="C667" s="8" t="s">
        <v>1129</v>
      </c>
      <c r="D667" s="26"/>
      <c r="G667" s="32">
        <f>SUM(G661:G666)</f>
        <v>129019.88</v>
      </c>
      <c r="H667" s="32">
        <f>SUM(H661:H666)</f>
        <v>129019.88</v>
      </c>
    </row>
    <row r="668" spans="1:8" s="2" customFormat="1">
      <c r="C668" s="8" t="s">
        <v>2235</v>
      </c>
      <c r="D668" s="26"/>
      <c r="G668" s="32">
        <f>G667</f>
        <v>129019.88</v>
      </c>
      <c r="H668" s="32">
        <f>H667</f>
        <v>129019.88</v>
      </c>
    </row>
    <row r="669" spans="1:8" s="2" customFormat="1">
      <c r="D669" s="26"/>
      <c r="G669" s="32"/>
      <c r="H669" s="32"/>
    </row>
    <row r="670" spans="1:8" s="2" customFormat="1">
      <c r="A670" s="6" t="s">
        <v>2563</v>
      </c>
      <c r="B670" s="2" t="s">
        <v>264</v>
      </c>
      <c r="D670" s="26"/>
      <c r="G670" s="32"/>
      <c r="H670" s="32"/>
    </row>
    <row r="671" spans="1:8" s="2" customFormat="1">
      <c r="A671" s="15"/>
      <c r="D671" s="26"/>
      <c r="G671" s="32"/>
      <c r="H671" s="32"/>
    </row>
    <row r="672" spans="1:8" s="2" customFormat="1">
      <c r="A672" s="15"/>
      <c r="C672" s="2" t="s">
        <v>265</v>
      </c>
      <c r="D672" s="26">
        <v>110000</v>
      </c>
      <c r="E672" s="2">
        <v>320370</v>
      </c>
      <c r="F672" s="19">
        <v>820000</v>
      </c>
      <c r="G672" s="32">
        <v>35139</v>
      </c>
      <c r="H672" s="32">
        <v>35139</v>
      </c>
    </row>
    <row r="673" spans="1:8" s="2" customFormat="1">
      <c r="A673" s="15"/>
      <c r="C673" s="2" t="s">
        <v>266</v>
      </c>
      <c r="D673" s="26">
        <v>110000</v>
      </c>
      <c r="E673" s="2">
        <v>320370</v>
      </c>
      <c r="F673" s="2">
        <v>710000</v>
      </c>
      <c r="G673" s="32">
        <v>10000</v>
      </c>
      <c r="H673" s="32">
        <v>10000</v>
      </c>
    </row>
    <row r="674" spans="1:8" s="2" customFormat="1">
      <c r="A674" s="15"/>
      <c r="C674" s="2" t="s">
        <v>267</v>
      </c>
      <c r="D674" s="26">
        <v>110000</v>
      </c>
      <c r="E674" s="2">
        <v>320370</v>
      </c>
      <c r="F674" s="2">
        <v>721510</v>
      </c>
      <c r="G674" s="32">
        <f>1788059-74000-1000</f>
        <v>1713059</v>
      </c>
      <c r="H674" s="32">
        <f>1788059-74000-1000</f>
        <v>1713059</v>
      </c>
    </row>
    <row r="675" spans="1:8" s="2" customFormat="1">
      <c r="A675" s="15"/>
      <c r="C675" s="2" t="s">
        <v>268</v>
      </c>
      <c r="D675" s="26">
        <v>110000</v>
      </c>
      <c r="E675" s="2">
        <v>320370</v>
      </c>
      <c r="F675" s="2">
        <v>721520</v>
      </c>
      <c r="G675" s="32">
        <f>409578-17000</f>
        <v>392578</v>
      </c>
      <c r="H675" s="32">
        <f>409578-17000</f>
        <v>392578</v>
      </c>
    </row>
    <row r="676" spans="1:8" s="2" customFormat="1">
      <c r="A676" s="15"/>
      <c r="C676" s="2" t="s">
        <v>269</v>
      </c>
      <c r="D676" s="26">
        <v>110000</v>
      </c>
      <c r="E676" s="2">
        <v>320370</v>
      </c>
      <c r="F676" s="2">
        <v>721530</v>
      </c>
      <c r="G676" s="32">
        <f>193148-8000</f>
        <v>185148</v>
      </c>
      <c r="H676" s="32">
        <f>193148-8000</f>
        <v>185148</v>
      </c>
    </row>
    <row r="677" spans="1:8" s="2" customFormat="1">
      <c r="A677" s="15"/>
      <c r="C677" s="2" t="s">
        <v>270</v>
      </c>
      <c r="D677" s="26">
        <v>110000</v>
      </c>
      <c r="E677" s="2">
        <v>320370</v>
      </c>
      <c r="F677" s="2">
        <v>710000</v>
      </c>
      <c r="G677" s="32">
        <v>45694</v>
      </c>
      <c r="H677" s="32">
        <v>45694</v>
      </c>
    </row>
    <row r="678" spans="1:8" s="2" customFormat="1">
      <c r="A678" s="15"/>
      <c r="C678" s="8" t="s">
        <v>2235</v>
      </c>
      <c r="D678" s="26"/>
      <c r="G678" s="32">
        <f>SUM(G672:G677)</f>
        <v>2381618</v>
      </c>
      <c r="H678" s="32">
        <f>SUM(H672:H677)</f>
        <v>2381618</v>
      </c>
    </row>
    <row r="679" spans="1:8" s="2" customFormat="1">
      <c r="A679" s="15"/>
      <c r="D679" s="26"/>
      <c r="G679" s="32"/>
      <c r="H679" s="32"/>
    </row>
    <row r="680" spans="1:8" s="2" customFormat="1">
      <c r="A680" s="6" t="s">
        <v>2570</v>
      </c>
      <c r="B680" s="2" t="s">
        <v>2900</v>
      </c>
      <c r="D680" s="26"/>
      <c r="G680" s="32"/>
      <c r="H680" s="32"/>
    </row>
    <row r="681" spans="1:8" s="2" customFormat="1">
      <c r="D681" s="26"/>
      <c r="G681" s="32"/>
      <c r="H681" s="32"/>
    </row>
    <row r="682" spans="1:8" s="2" customFormat="1">
      <c r="A682" s="5" t="s">
        <v>1650</v>
      </c>
      <c r="C682" s="2" t="s">
        <v>2901</v>
      </c>
      <c r="D682" s="26">
        <v>110000</v>
      </c>
      <c r="E682" s="2">
        <v>320380</v>
      </c>
      <c r="F682" s="2">
        <v>610410</v>
      </c>
      <c r="G682" s="32">
        <f>27689+775</f>
        <v>28464</v>
      </c>
      <c r="H682" s="32">
        <f>27689+775</f>
        <v>28464</v>
      </c>
    </row>
    <row r="683" spans="1:8" s="2" customFormat="1">
      <c r="A683" s="5" t="s">
        <v>1651</v>
      </c>
      <c r="B683" s="2" t="s">
        <v>2863</v>
      </c>
      <c r="C683" s="2" t="s">
        <v>998</v>
      </c>
      <c r="D683" s="26">
        <v>110000</v>
      </c>
      <c r="E683" s="2">
        <v>320380</v>
      </c>
      <c r="F683" s="2">
        <v>610410</v>
      </c>
      <c r="G683" s="32">
        <f>20167+565</f>
        <v>20732</v>
      </c>
      <c r="H683" s="32">
        <f>20167+565</f>
        <v>20732</v>
      </c>
    </row>
    <row r="684" spans="1:8" s="2" customFormat="1">
      <c r="A684" s="5" t="s">
        <v>1652</v>
      </c>
      <c r="B684" s="2" t="s">
        <v>2699</v>
      </c>
      <c r="C684" s="2" t="s">
        <v>998</v>
      </c>
      <c r="D684" s="26">
        <v>110000</v>
      </c>
      <c r="E684" s="2">
        <v>320380</v>
      </c>
      <c r="F684" s="2">
        <v>610410</v>
      </c>
      <c r="G684" s="32">
        <f>22693+635</f>
        <v>23328</v>
      </c>
      <c r="H684" s="32">
        <f>22693+635</f>
        <v>23328</v>
      </c>
    </row>
    <row r="685" spans="1:8" s="2" customFormat="1">
      <c r="A685" s="5" t="s">
        <v>2700</v>
      </c>
      <c r="C685" s="2" t="s">
        <v>1611</v>
      </c>
      <c r="D685" s="26">
        <v>110000</v>
      </c>
      <c r="E685" s="2">
        <v>320380</v>
      </c>
      <c r="F685" s="2">
        <v>620000</v>
      </c>
      <c r="G685" s="32"/>
      <c r="H685" s="32"/>
    </row>
    <row r="686" spans="1:8" s="2" customFormat="1">
      <c r="A686" s="5" t="s">
        <v>2701</v>
      </c>
      <c r="C686" s="2" t="s">
        <v>2950</v>
      </c>
      <c r="D686" s="26">
        <v>110000</v>
      </c>
      <c r="E686" s="2">
        <v>320380</v>
      </c>
      <c r="F686" s="2">
        <v>610000</v>
      </c>
      <c r="G686" s="32"/>
      <c r="H686" s="32"/>
    </row>
    <row r="687" spans="1:8" s="2" customFormat="1">
      <c r="C687" s="2" t="s">
        <v>2951</v>
      </c>
      <c r="D687" s="26">
        <v>110000</v>
      </c>
      <c r="E687" s="2">
        <v>320380</v>
      </c>
      <c r="F687" s="2">
        <v>630000</v>
      </c>
      <c r="G687" s="32">
        <f>SUM(G682:G686)*0.22</f>
        <v>15955.28</v>
      </c>
      <c r="H687" s="32">
        <f>SUM(H682:H686)*0.22</f>
        <v>15955.28</v>
      </c>
    </row>
    <row r="688" spans="1:8" s="2" customFormat="1">
      <c r="C688" s="8" t="s">
        <v>1129</v>
      </c>
      <c r="D688" s="26"/>
      <c r="G688" s="32">
        <f>SUM(G682:G687)</f>
        <v>88479.28</v>
      </c>
      <c r="H688" s="32">
        <f>SUM(H682:H687)</f>
        <v>88479.28</v>
      </c>
    </row>
    <row r="689" spans="1:8" s="2" customFormat="1">
      <c r="C689" s="8" t="s">
        <v>2235</v>
      </c>
      <c r="D689" s="26"/>
      <c r="G689" s="32">
        <f>G688</f>
        <v>88479.28</v>
      </c>
      <c r="H689" s="32">
        <f>H688</f>
        <v>88479.28</v>
      </c>
    </row>
    <row r="690" spans="1:8" s="2" customFormat="1">
      <c r="D690" s="26"/>
      <c r="G690" s="32"/>
      <c r="H690" s="32"/>
    </row>
    <row r="691" spans="1:8" s="2" customFormat="1">
      <c r="A691" s="6" t="s">
        <v>2569</v>
      </c>
      <c r="B691" s="2" t="s">
        <v>2917</v>
      </c>
      <c r="D691" s="26"/>
      <c r="G691" s="32"/>
      <c r="H691" s="32"/>
    </row>
    <row r="692" spans="1:8" s="2" customFormat="1">
      <c r="D692" s="26"/>
      <c r="G692" s="32"/>
      <c r="H692" s="32"/>
    </row>
    <row r="693" spans="1:8" s="2" customFormat="1">
      <c r="A693" s="5" t="s">
        <v>1965</v>
      </c>
      <c r="B693" s="2" t="s">
        <v>2918</v>
      </c>
      <c r="C693" s="2" t="s">
        <v>2919</v>
      </c>
      <c r="D693" s="26">
        <v>110000</v>
      </c>
      <c r="E693" s="2">
        <v>320390</v>
      </c>
      <c r="F693" s="2">
        <v>610410</v>
      </c>
      <c r="G693" s="32">
        <f>24243+679</f>
        <v>24922</v>
      </c>
      <c r="H693" s="32">
        <f>24243+679</f>
        <v>24922</v>
      </c>
    </row>
    <row r="694" spans="1:8" s="2" customFormat="1">
      <c r="A694" s="5" t="s">
        <v>1640</v>
      </c>
      <c r="B694" s="2" t="s">
        <v>2920</v>
      </c>
      <c r="C694" s="2" t="s">
        <v>1000</v>
      </c>
      <c r="D694" s="26">
        <v>110000</v>
      </c>
      <c r="E694" s="2">
        <v>320390</v>
      </c>
      <c r="F694" s="2">
        <v>610410</v>
      </c>
      <c r="G694" s="32">
        <f>25798+722</f>
        <v>26520</v>
      </c>
      <c r="H694" s="32">
        <f>25798+722</f>
        <v>26520</v>
      </c>
    </row>
    <row r="695" spans="1:8" s="2" customFormat="1">
      <c r="A695" s="5" t="s">
        <v>1641</v>
      </c>
      <c r="B695" s="2" t="s">
        <v>201</v>
      </c>
      <c r="C695" s="2" t="s">
        <v>202</v>
      </c>
      <c r="D695" s="26">
        <v>110000</v>
      </c>
      <c r="E695" s="2">
        <v>320390</v>
      </c>
      <c r="F695" s="2">
        <v>610410</v>
      </c>
      <c r="G695" s="32">
        <f>25617+717</f>
        <v>26334</v>
      </c>
      <c r="H695" s="32">
        <f>25617+717</f>
        <v>26334</v>
      </c>
    </row>
    <row r="696" spans="1:8" s="2" customFormat="1">
      <c r="A696" s="5" t="s">
        <v>1642</v>
      </c>
      <c r="B696" s="2" t="s">
        <v>203</v>
      </c>
      <c r="C696" s="2" t="s">
        <v>204</v>
      </c>
      <c r="D696" s="26">
        <v>110000</v>
      </c>
      <c r="E696" s="2">
        <v>320390</v>
      </c>
      <c r="F696" s="2">
        <v>610410</v>
      </c>
      <c r="G696" s="32">
        <f>23608+661</f>
        <v>24269</v>
      </c>
      <c r="H696" s="32">
        <f>23608+661</f>
        <v>24269</v>
      </c>
    </row>
    <row r="697" spans="1:8" s="2" customFormat="1">
      <c r="A697" s="5" t="s">
        <v>1643</v>
      </c>
      <c r="B697" s="2" t="s">
        <v>205</v>
      </c>
      <c r="C697" s="2" t="s">
        <v>202</v>
      </c>
      <c r="D697" s="26">
        <v>110000</v>
      </c>
      <c r="E697" s="2">
        <v>320390</v>
      </c>
      <c r="F697" s="2">
        <v>610410</v>
      </c>
      <c r="G697" s="32">
        <f>29224+818</f>
        <v>30042</v>
      </c>
      <c r="H697" s="32">
        <f>29224+818</f>
        <v>30042</v>
      </c>
    </row>
    <row r="698" spans="1:8" s="2" customFormat="1">
      <c r="A698" s="5" t="s">
        <v>1644</v>
      </c>
      <c r="B698" s="2" t="s">
        <v>1182</v>
      </c>
      <c r="C698" s="2" t="s">
        <v>1183</v>
      </c>
      <c r="D698" s="26">
        <v>110000</v>
      </c>
      <c r="E698" s="2">
        <v>320390</v>
      </c>
      <c r="F698" s="2">
        <v>610410</v>
      </c>
      <c r="G698" s="32">
        <f>24854+696</f>
        <v>25550</v>
      </c>
      <c r="H698" s="32">
        <f>24854+696</f>
        <v>25550</v>
      </c>
    </row>
    <row r="699" spans="1:8" s="2" customFormat="1">
      <c r="A699" s="5" t="s">
        <v>1645</v>
      </c>
      <c r="B699" s="2" t="s">
        <v>2862</v>
      </c>
      <c r="C699" s="2" t="s">
        <v>202</v>
      </c>
      <c r="D699" s="26">
        <v>110000</v>
      </c>
      <c r="E699" s="2">
        <v>320390</v>
      </c>
      <c r="F699" s="2">
        <v>610410</v>
      </c>
      <c r="G699" s="32">
        <f>19909+557</f>
        <v>20466</v>
      </c>
      <c r="H699" s="32">
        <f>19909+557</f>
        <v>20466</v>
      </c>
    </row>
    <row r="700" spans="1:8" s="2" customFormat="1">
      <c r="A700" s="5" t="s">
        <v>1646</v>
      </c>
      <c r="B700" s="2" t="s">
        <v>2687</v>
      </c>
      <c r="C700" s="2" t="s">
        <v>2892</v>
      </c>
      <c r="D700" s="26">
        <v>110000</v>
      </c>
      <c r="E700" s="2">
        <v>320390</v>
      </c>
      <c r="F700" s="2">
        <v>610410</v>
      </c>
      <c r="G700" s="32">
        <f>25538+715</f>
        <v>26253</v>
      </c>
      <c r="H700" s="32">
        <f>25538+715</f>
        <v>26253</v>
      </c>
    </row>
    <row r="701" spans="1:8" s="2" customFormat="1">
      <c r="A701" s="5" t="s">
        <v>1647</v>
      </c>
      <c r="B701" s="2" t="s">
        <v>2893</v>
      </c>
      <c r="C701" s="2" t="s">
        <v>2894</v>
      </c>
      <c r="D701" s="26">
        <v>110000</v>
      </c>
      <c r="E701" s="2">
        <v>320390</v>
      </c>
      <c r="F701" s="2">
        <v>610410</v>
      </c>
      <c r="G701" s="32">
        <f>22693+635</f>
        <v>23328</v>
      </c>
      <c r="H701" s="32">
        <f>22693+635</f>
        <v>23328</v>
      </c>
    </row>
    <row r="702" spans="1:8" s="2" customFormat="1">
      <c r="A702" s="5" t="s">
        <v>1648</v>
      </c>
      <c r="B702" s="2" t="s">
        <v>2895</v>
      </c>
      <c r="C702" s="2" t="s">
        <v>204</v>
      </c>
      <c r="D702" s="26">
        <v>110000</v>
      </c>
      <c r="E702" s="2">
        <v>320390</v>
      </c>
      <c r="F702" s="2">
        <v>610410</v>
      </c>
      <c r="G702" s="32">
        <f>24993+700</f>
        <v>25693</v>
      </c>
      <c r="H702" s="32">
        <f>24993+700</f>
        <v>25693</v>
      </c>
    </row>
    <row r="703" spans="1:8" s="2" customFormat="1">
      <c r="A703" s="5" t="s">
        <v>1649</v>
      </c>
      <c r="B703" s="2" t="s">
        <v>2896</v>
      </c>
      <c r="C703" s="2" t="s">
        <v>2897</v>
      </c>
      <c r="D703" s="26">
        <v>110000</v>
      </c>
      <c r="E703" s="2">
        <v>320390</v>
      </c>
      <c r="F703" s="2">
        <v>610410</v>
      </c>
      <c r="G703" s="32">
        <f>23665+663</f>
        <v>24328</v>
      </c>
      <c r="H703" s="32">
        <f>23665+663</f>
        <v>24328</v>
      </c>
    </row>
    <row r="704" spans="1:8" s="2" customFormat="1">
      <c r="A704" s="5" t="s">
        <v>2898</v>
      </c>
      <c r="C704" s="2" t="s">
        <v>1611</v>
      </c>
      <c r="D704" s="26">
        <v>110000</v>
      </c>
      <c r="E704" s="2">
        <v>320390</v>
      </c>
      <c r="F704" s="2">
        <v>620000</v>
      </c>
      <c r="G704" s="32"/>
      <c r="H704" s="32"/>
    </row>
    <row r="705" spans="1:8" s="2" customFormat="1">
      <c r="A705" s="5" t="s">
        <v>2899</v>
      </c>
      <c r="C705" s="2" t="s">
        <v>2950</v>
      </c>
      <c r="D705" s="26">
        <v>110000</v>
      </c>
      <c r="E705" s="2">
        <v>320390</v>
      </c>
      <c r="F705" s="2">
        <v>610000</v>
      </c>
      <c r="G705" s="32"/>
      <c r="H705" s="32"/>
    </row>
    <row r="706" spans="1:8" s="2" customFormat="1">
      <c r="C706" s="2" t="s">
        <v>2951</v>
      </c>
      <c r="D706" s="26">
        <v>110000</v>
      </c>
      <c r="E706" s="2">
        <v>320390</v>
      </c>
      <c r="F706" s="2">
        <v>630000</v>
      </c>
      <c r="G706" s="32">
        <f>SUM(G693:G705)*0.25</f>
        <v>69426.25</v>
      </c>
      <c r="H706" s="32">
        <f>SUM(H693:H705)*0.25</f>
        <v>69426.25</v>
      </c>
    </row>
    <row r="707" spans="1:8" s="2" customFormat="1">
      <c r="C707" s="8" t="s">
        <v>1129</v>
      </c>
      <c r="D707" s="26"/>
      <c r="G707" s="32">
        <f>SUM(G693:G706)</f>
        <v>347131.25</v>
      </c>
      <c r="H707" s="32">
        <f>SUM(H693:H706)</f>
        <v>347131.25</v>
      </c>
    </row>
    <row r="708" spans="1:8" s="2" customFormat="1">
      <c r="C708" s="8" t="s">
        <v>2235</v>
      </c>
      <c r="D708" s="26"/>
      <c r="G708" s="32">
        <f>G707</f>
        <v>347131.25</v>
      </c>
      <c r="H708" s="32">
        <f>H707</f>
        <v>347131.25</v>
      </c>
    </row>
    <row r="709" spans="1:8" s="2" customFormat="1">
      <c r="D709" s="26"/>
      <c r="G709" s="32"/>
      <c r="H709" s="32"/>
    </row>
    <row r="710" spans="1:8" s="2" customFormat="1">
      <c r="A710" s="6" t="s">
        <v>2565</v>
      </c>
      <c r="B710" s="2" t="s">
        <v>2256</v>
      </c>
      <c r="D710" s="26"/>
      <c r="G710" s="32"/>
      <c r="H710" s="32"/>
    </row>
    <row r="711" spans="1:8" s="2" customFormat="1">
      <c r="D711" s="26"/>
      <c r="G711" s="32"/>
      <c r="H711" s="32"/>
    </row>
    <row r="712" spans="1:8" s="2" customFormat="1">
      <c r="A712" s="5" t="s">
        <v>1938</v>
      </c>
      <c r="B712" s="2" t="s">
        <v>2257</v>
      </c>
      <c r="C712" s="2" t="s">
        <v>981</v>
      </c>
      <c r="D712" s="26">
        <v>110000</v>
      </c>
      <c r="E712" s="2">
        <v>320400</v>
      </c>
      <c r="F712" s="2">
        <v>610410</v>
      </c>
      <c r="G712" s="32">
        <f>22518+631</f>
        <v>23149</v>
      </c>
      <c r="H712" s="32">
        <f>22518+631</f>
        <v>23149</v>
      </c>
    </row>
    <row r="713" spans="1:8" s="2" customFormat="1">
      <c r="A713" s="5" t="s">
        <v>1939</v>
      </c>
      <c r="B713" s="2" t="s">
        <v>159</v>
      </c>
      <c r="C713" s="2" t="s">
        <v>43</v>
      </c>
      <c r="D713" s="26">
        <v>110000</v>
      </c>
      <c r="E713" s="2">
        <v>320400</v>
      </c>
      <c r="F713" s="2">
        <v>610410</v>
      </c>
      <c r="G713" s="32">
        <f>17924+502</f>
        <v>18426</v>
      </c>
      <c r="H713" s="32">
        <f>17924+502</f>
        <v>18426</v>
      </c>
    </row>
    <row r="714" spans="1:8" s="2" customFormat="1">
      <c r="A714" s="5" t="s">
        <v>1940</v>
      </c>
      <c r="B714" s="2" t="s">
        <v>1003</v>
      </c>
      <c r="C714" s="2" t="s">
        <v>2877</v>
      </c>
      <c r="D714" s="26">
        <v>110000</v>
      </c>
      <c r="E714" s="2">
        <v>320400</v>
      </c>
      <c r="F714" s="2">
        <v>610410</v>
      </c>
      <c r="G714" s="32">
        <f>21645+606</f>
        <v>22251</v>
      </c>
      <c r="H714" s="32">
        <f>21645+606</f>
        <v>22251</v>
      </c>
    </row>
    <row r="715" spans="1:8" s="2" customFormat="1">
      <c r="A715" s="5" t="s">
        <v>1941</v>
      </c>
      <c r="B715" s="2" t="s">
        <v>1202</v>
      </c>
      <c r="C715" s="2" t="s">
        <v>1004</v>
      </c>
      <c r="D715" s="26">
        <v>110000</v>
      </c>
      <c r="E715" s="2">
        <v>320400</v>
      </c>
      <c r="F715" s="2">
        <v>610410</v>
      </c>
      <c r="G715" s="32">
        <f>12820+359</f>
        <v>13179</v>
      </c>
      <c r="H715" s="32">
        <f>12820+359</f>
        <v>13179</v>
      </c>
    </row>
    <row r="716" spans="1:8" s="2" customFormat="1">
      <c r="A716" s="5" t="s">
        <v>1005</v>
      </c>
      <c r="C716" s="2" t="s">
        <v>1611</v>
      </c>
      <c r="D716" s="26">
        <v>110000</v>
      </c>
      <c r="E716" s="2">
        <v>320400</v>
      </c>
      <c r="F716" s="2">
        <v>620000</v>
      </c>
      <c r="G716" s="32"/>
      <c r="H716" s="32"/>
    </row>
    <row r="717" spans="1:8" s="2" customFormat="1">
      <c r="A717" s="5" t="s">
        <v>1038</v>
      </c>
      <c r="C717" s="2" t="s">
        <v>2950</v>
      </c>
      <c r="D717" s="26">
        <v>110000</v>
      </c>
      <c r="E717" s="2">
        <v>320400</v>
      </c>
      <c r="F717" s="2">
        <v>610000</v>
      </c>
      <c r="G717" s="32"/>
      <c r="H717" s="32"/>
    </row>
    <row r="718" spans="1:8" s="2" customFormat="1">
      <c r="C718" s="2" t="s">
        <v>2951</v>
      </c>
      <c r="D718" s="26">
        <v>110000</v>
      </c>
      <c r="E718" s="2">
        <v>320400</v>
      </c>
      <c r="F718" s="2">
        <v>630000</v>
      </c>
      <c r="G718" s="32">
        <f>SUM(G712:G717)*0.22</f>
        <v>16941.099999999999</v>
      </c>
      <c r="H718" s="32">
        <f>SUM(H712:H717)*0.22</f>
        <v>16941.099999999999</v>
      </c>
    </row>
    <row r="719" spans="1:8" s="2" customFormat="1">
      <c r="C719" s="8" t="s">
        <v>1129</v>
      </c>
      <c r="D719" s="26"/>
      <c r="G719" s="32">
        <f>SUM(G712:G718)</f>
        <v>93946.1</v>
      </c>
      <c r="H719" s="32">
        <f>SUM(H712:H718)</f>
        <v>93946.1</v>
      </c>
    </row>
    <row r="720" spans="1:8" s="2" customFormat="1">
      <c r="C720" s="8" t="s">
        <v>2235</v>
      </c>
      <c r="D720" s="26"/>
      <c r="G720" s="32">
        <f>G719</f>
        <v>93946.1</v>
      </c>
      <c r="H720" s="32">
        <f>H719</f>
        <v>93946.1</v>
      </c>
    </row>
    <row r="721" spans="1:8" s="2" customFormat="1">
      <c r="D721" s="26"/>
      <c r="G721" s="32"/>
      <c r="H721" s="32"/>
    </row>
    <row r="722" spans="1:8" s="2" customFormat="1">
      <c r="A722" s="6" t="s">
        <v>2566</v>
      </c>
      <c r="B722" s="2" t="s">
        <v>236</v>
      </c>
      <c r="D722" s="26"/>
      <c r="G722" s="32"/>
      <c r="H722" s="32"/>
    </row>
    <row r="723" spans="1:8" s="2" customFormat="1">
      <c r="A723" s="15"/>
      <c r="D723" s="26"/>
      <c r="G723" s="32"/>
      <c r="H723" s="32"/>
    </row>
    <row r="724" spans="1:8" s="2" customFormat="1">
      <c r="A724" s="15"/>
      <c r="C724" s="2" t="s">
        <v>987</v>
      </c>
      <c r="D724" s="26">
        <v>110000</v>
      </c>
      <c r="E724" s="2">
        <v>320410</v>
      </c>
      <c r="F724" s="19">
        <v>562120</v>
      </c>
      <c r="G724" s="32">
        <v>-110000</v>
      </c>
      <c r="H724" s="32">
        <v>-110000</v>
      </c>
    </row>
    <row r="725" spans="1:8" s="2" customFormat="1">
      <c r="A725" s="15"/>
      <c r="C725" s="2" t="s">
        <v>237</v>
      </c>
      <c r="D725" s="26">
        <v>110000</v>
      </c>
      <c r="E725" s="2">
        <v>320410</v>
      </c>
      <c r="F725" s="2">
        <v>710000</v>
      </c>
      <c r="G725" s="32">
        <v>100000</v>
      </c>
      <c r="H725" s="32">
        <v>100000</v>
      </c>
    </row>
    <row r="726" spans="1:8" s="2" customFormat="1">
      <c r="A726" s="15"/>
      <c r="C726" s="2" t="s">
        <v>238</v>
      </c>
      <c r="D726" s="26">
        <v>110000</v>
      </c>
      <c r="E726" s="2">
        <v>320410</v>
      </c>
      <c r="F726" s="2">
        <v>710000</v>
      </c>
      <c r="G726" s="32">
        <v>10000</v>
      </c>
      <c r="H726" s="32">
        <v>10000</v>
      </c>
    </row>
    <row r="727" spans="1:8" s="2" customFormat="1">
      <c r="A727" s="15"/>
      <c r="C727" s="8" t="s">
        <v>2235</v>
      </c>
      <c r="D727" s="26"/>
      <c r="G727" s="32">
        <f>SUM(G724:G726)</f>
        <v>0</v>
      </c>
      <c r="H727" s="32">
        <f>SUM(H724:H726)</f>
        <v>0</v>
      </c>
    </row>
    <row r="728" spans="1:8" s="2" customFormat="1">
      <c r="A728" s="15"/>
      <c r="D728" s="26"/>
      <c r="G728" s="32"/>
      <c r="H728" s="32"/>
    </row>
    <row r="729" spans="1:8" s="2" customFormat="1">
      <c r="A729" s="6" t="s">
        <v>471</v>
      </c>
      <c r="B729" s="9" t="s">
        <v>2172</v>
      </c>
      <c r="E729" s="20"/>
      <c r="G729" s="32"/>
      <c r="H729" s="32"/>
    </row>
    <row r="730" spans="1:8" s="2" customFormat="1">
      <c r="A730" s="5"/>
      <c r="E730" s="20"/>
      <c r="G730" s="32"/>
      <c r="H730" s="32"/>
    </row>
    <row r="731" spans="1:8" s="2" customFormat="1">
      <c r="A731" s="5" t="s">
        <v>352</v>
      </c>
      <c r="B731" s="2" t="s">
        <v>2173</v>
      </c>
      <c r="C731" s="2" t="s">
        <v>2170</v>
      </c>
      <c r="D731" s="2">
        <v>110000</v>
      </c>
      <c r="E731" s="20" t="s">
        <v>471</v>
      </c>
      <c r="F731" s="2">
        <v>610210</v>
      </c>
      <c r="G731" s="32">
        <f>40079+1142</f>
        <v>41221</v>
      </c>
      <c r="H731" s="32">
        <f>40079+1142</f>
        <v>41221</v>
      </c>
    </row>
    <row r="732" spans="1:8" s="2" customFormat="1">
      <c r="A732" s="5"/>
      <c r="D732" s="2">
        <v>110000</v>
      </c>
      <c r="E732" s="20" t="s">
        <v>3029</v>
      </c>
      <c r="F732" s="2">
        <v>610210</v>
      </c>
      <c r="G732" s="32">
        <f>13232+377</f>
        <v>13609</v>
      </c>
      <c r="H732" s="32">
        <v>0</v>
      </c>
    </row>
    <row r="733" spans="1:8" s="2" customFormat="1">
      <c r="A733" s="5"/>
      <c r="E733" s="2" t="s">
        <v>2880</v>
      </c>
      <c r="G733" s="32">
        <f>G731+G732</f>
        <v>54830</v>
      </c>
      <c r="H733" s="32">
        <f>H731+H732</f>
        <v>41221</v>
      </c>
    </row>
    <row r="734" spans="1:8" s="2" customFormat="1">
      <c r="A734" s="5" t="s">
        <v>353</v>
      </c>
      <c r="B734" s="2" t="s">
        <v>206</v>
      </c>
      <c r="C734" s="2" t="s">
        <v>2884</v>
      </c>
      <c r="D734" s="2">
        <v>110000</v>
      </c>
      <c r="E734" s="20" t="s">
        <v>471</v>
      </c>
      <c r="F734" s="2">
        <v>610210</v>
      </c>
      <c r="G734" s="32">
        <f>27111+908</f>
        <v>28019</v>
      </c>
      <c r="H734" s="32">
        <f>27111+908</f>
        <v>28019</v>
      </c>
    </row>
    <row r="735" spans="1:8" s="2" customFormat="1">
      <c r="A735" s="6" t="s">
        <v>354</v>
      </c>
      <c r="B735" s="2" t="s">
        <v>207</v>
      </c>
      <c r="C735" s="2" t="s">
        <v>208</v>
      </c>
      <c r="D735" s="2">
        <v>110000</v>
      </c>
      <c r="E735" s="20" t="s">
        <v>471</v>
      </c>
      <c r="F735" s="2">
        <v>610410</v>
      </c>
      <c r="G735" s="32">
        <f>30035+841</f>
        <v>30876</v>
      </c>
      <c r="H735" s="32">
        <f>30035+841</f>
        <v>30876</v>
      </c>
    </row>
    <row r="736" spans="1:8" s="2" customFormat="1">
      <c r="A736" s="6" t="s">
        <v>355</v>
      </c>
      <c r="B736" s="2" t="s">
        <v>209</v>
      </c>
      <c r="C736" s="2" t="s">
        <v>208</v>
      </c>
      <c r="D736" s="2">
        <v>110000</v>
      </c>
      <c r="E736" s="20" t="s">
        <v>471</v>
      </c>
      <c r="F736" s="2">
        <v>610410</v>
      </c>
      <c r="G736" s="32">
        <f>35836+1003</f>
        <v>36839</v>
      </c>
      <c r="H736" s="32">
        <f>35836+1003</f>
        <v>36839</v>
      </c>
    </row>
    <row r="737" spans="1:8" s="2" customFormat="1">
      <c r="A737" s="5" t="s">
        <v>356</v>
      </c>
      <c r="B737" s="2" t="s">
        <v>210</v>
      </c>
      <c r="C737" s="2" t="s">
        <v>211</v>
      </c>
      <c r="D737" s="2">
        <v>110000</v>
      </c>
      <c r="E737" s="20" t="s">
        <v>471</v>
      </c>
      <c r="F737" s="2">
        <v>610410</v>
      </c>
      <c r="G737" s="32">
        <f>27912+782</f>
        <v>28694</v>
      </c>
      <c r="H737" s="32">
        <f>27912+782</f>
        <v>28694</v>
      </c>
    </row>
    <row r="738" spans="1:8" s="2" customFormat="1">
      <c r="A738" s="5" t="s">
        <v>357</v>
      </c>
      <c r="B738" s="2" t="s">
        <v>870</v>
      </c>
      <c r="C738" s="2" t="s">
        <v>316</v>
      </c>
      <c r="D738" s="2">
        <v>110000</v>
      </c>
      <c r="E738" s="20" t="s">
        <v>471</v>
      </c>
      <c r="F738" s="2">
        <v>610410</v>
      </c>
      <c r="G738" s="32">
        <f>18860+528</f>
        <v>19388</v>
      </c>
      <c r="H738" s="32">
        <f>18860+528</f>
        <v>19388</v>
      </c>
    </row>
    <row r="739" spans="1:8" s="2" customFormat="1">
      <c r="A739" s="5" t="s">
        <v>358</v>
      </c>
      <c r="B739" s="2" t="s">
        <v>212</v>
      </c>
      <c r="C739" s="2" t="s">
        <v>316</v>
      </c>
      <c r="D739" s="2">
        <v>110000</v>
      </c>
      <c r="E739" s="20" t="s">
        <v>471</v>
      </c>
      <c r="F739" s="2">
        <v>610410</v>
      </c>
      <c r="G739" s="32">
        <f>20124+563</f>
        <v>20687</v>
      </c>
      <c r="H739" s="32">
        <f>20124+563</f>
        <v>20687</v>
      </c>
    </row>
    <row r="740" spans="1:8" s="2" customFormat="1">
      <c r="A740" s="5" t="s">
        <v>359</v>
      </c>
      <c r="B740" s="2" t="s">
        <v>608</v>
      </c>
      <c r="C740" s="2" t="s">
        <v>211</v>
      </c>
      <c r="D740" s="2">
        <v>110000</v>
      </c>
      <c r="E740" s="20" t="s">
        <v>471</v>
      </c>
      <c r="F740" s="2">
        <v>610410</v>
      </c>
      <c r="G740" s="32">
        <f>26967+755</f>
        <v>27722</v>
      </c>
      <c r="H740" s="32">
        <f>26967+755</f>
        <v>27722</v>
      </c>
    </row>
    <row r="741" spans="1:8" s="2" customFormat="1">
      <c r="A741" s="5" t="s">
        <v>360</v>
      </c>
      <c r="B741" s="2" t="s">
        <v>609</v>
      </c>
      <c r="C741" s="2" t="s">
        <v>316</v>
      </c>
      <c r="D741" s="2">
        <v>110000</v>
      </c>
      <c r="E741" s="20" t="s">
        <v>471</v>
      </c>
      <c r="F741" s="2">
        <v>610410</v>
      </c>
      <c r="G741" s="32">
        <f>25835+723</f>
        <v>26558</v>
      </c>
      <c r="H741" s="32">
        <f>25835+723</f>
        <v>26558</v>
      </c>
    </row>
    <row r="742" spans="1:8" s="2" customFormat="1">
      <c r="A742" s="5" t="s">
        <v>361</v>
      </c>
      <c r="B742" s="9"/>
      <c r="C742" s="2" t="s">
        <v>316</v>
      </c>
      <c r="D742" s="2">
        <v>110000</v>
      </c>
      <c r="E742" s="20" t="s">
        <v>471</v>
      </c>
      <c r="F742" s="2">
        <v>610410</v>
      </c>
      <c r="G742" s="32">
        <f>24036+673</f>
        <v>24709</v>
      </c>
      <c r="H742" s="32">
        <f>24036+673</f>
        <v>24709</v>
      </c>
    </row>
    <row r="743" spans="1:8" s="2" customFormat="1">
      <c r="A743" s="5" t="s">
        <v>362</v>
      </c>
      <c r="B743" s="2" t="s">
        <v>610</v>
      </c>
      <c r="C743" s="2" t="s">
        <v>316</v>
      </c>
      <c r="D743" s="2">
        <v>110000</v>
      </c>
      <c r="E743" s="20" t="s">
        <v>471</v>
      </c>
      <c r="F743" s="2">
        <v>610410</v>
      </c>
      <c r="G743" s="32">
        <f>24708+692</f>
        <v>25400</v>
      </c>
      <c r="H743" s="32">
        <f>24708+692</f>
        <v>25400</v>
      </c>
    </row>
    <row r="744" spans="1:8" s="2" customFormat="1">
      <c r="A744" s="5" t="s">
        <v>363</v>
      </c>
      <c r="B744" s="9" t="s">
        <v>611</v>
      </c>
      <c r="C744" s="2" t="s">
        <v>316</v>
      </c>
      <c r="D744" s="2">
        <v>110000</v>
      </c>
      <c r="E744" s="20" t="s">
        <v>471</v>
      </c>
      <c r="F744" s="2">
        <v>610410</v>
      </c>
      <c r="G744" s="32">
        <f>24708+692</f>
        <v>25400</v>
      </c>
      <c r="H744" s="32">
        <f>24708+692</f>
        <v>25400</v>
      </c>
    </row>
    <row r="745" spans="1:8" s="2" customFormat="1">
      <c r="A745" s="5" t="s">
        <v>364</v>
      </c>
      <c r="B745" s="2" t="s">
        <v>612</v>
      </c>
      <c r="C745" s="2" t="s">
        <v>316</v>
      </c>
      <c r="D745" s="2">
        <v>110000</v>
      </c>
      <c r="E745" s="20" t="s">
        <v>471</v>
      </c>
      <c r="F745" s="2">
        <v>610410</v>
      </c>
      <c r="G745" s="32">
        <f>25058+702</f>
        <v>25760</v>
      </c>
      <c r="H745" s="32">
        <f>25058+702</f>
        <v>25760</v>
      </c>
    </row>
    <row r="746" spans="1:8" s="2" customFormat="1">
      <c r="A746" s="5" t="s">
        <v>365</v>
      </c>
      <c r="B746" s="2" t="s">
        <v>1168</v>
      </c>
      <c r="C746" s="2" t="s">
        <v>316</v>
      </c>
      <c r="D746" s="2">
        <v>110000</v>
      </c>
      <c r="E746" s="20" t="s">
        <v>471</v>
      </c>
      <c r="F746" s="2">
        <v>610410</v>
      </c>
      <c r="G746" s="32">
        <f t="shared" ref="G746:H748" si="1">18860+528</f>
        <v>19388</v>
      </c>
      <c r="H746" s="32">
        <f t="shared" si="1"/>
        <v>19388</v>
      </c>
    </row>
    <row r="747" spans="1:8" s="2" customFormat="1">
      <c r="A747" s="5" t="s">
        <v>366</v>
      </c>
      <c r="B747" s="2" t="s">
        <v>1169</v>
      </c>
      <c r="C747" s="2" t="s">
        <v>316</v>
      </c>
      <c r="D747" s="2">
        <v>110000</v>
      </c>
      <c r="E747" s="20" t="s">
        <v>471</v>
      </c>
      <c r="F747" s="2">
        <v>610410</v>
      </c>
      <c r="G747" s="32">
        <f t="shared" si="1"/>
        <v>19388</v>
      </c>
      <c r="H747" s="32">
        <f t="shared" si="1"/>
        <v>19388</v>
      </c>
    </row>
    <row r="748" spans="1:8" s="2" customFormat="1">
      <c r="A748" s="5" t="s">
        <v>367</v>
      </c>
      <c r="B748" s="2" t="s">
        <v>2911</v>
      </c>
      <c r="C748" s="2" t="s">
        <v>316</v>
      </c>
      <c r="D748" s="2">
        <v>110000</v>
      </c>
      <c r="E748" s="20" t="s">
        <v>471</v>
      </c>
      <c r="F748" s="2">
        <v>610410</v>
      </c>
      <c r="G748" s="32">
        <f t="shared" si="1"/>
        <v>19388</v>
      </c>
      <c r="H748" s="32">
        <f t="shared" si="1"/>
        <v>19388</v>
      </c>
    </row>
    <row r="749" spans="1:8" s="2" customFormat="1">
      <c r="A749" s="5" t="s">
        <v>368</v>
      </c>
      <c r="B749" s="2" t="s">
        <v>614</v>
      </c>
      <c r="C749" s="2" t="s">
        <v>316</v>
      </c>
      <c r="D749" s="2">
        <v>110000</v>
      </c>
      <c r="E749" s="20" t="s">
        <v>471</v>
      </c>
      <c r="F749" s="2">
        <v>610410</v>
      </c>
      <c r="G749" s="32">
        <f>24036+673</f>
        <v>24709</v>
      </c>
      <c r="H749" s="32">
        <f>24036+673</f>
        <v>24709</v>
      </c>
    </row>
    <row r="750" spans="1:8" s="2" customFormat="1">
      <c r="A750" s="5" t="s">
        <v>369</v>
      </c>
      <c r="B750" s="9" t="s">
        <v>615</v>
      </c>
      <c r="C750" s="2" t="s">
        <v>211</v>
      </c>
      <c r="D750" s="2">
        <v>110000</v>
      </c>
      <c r="E750" s="20" t="s">
        <v>471</v>
      </c>
      <c r="F750" s="2">
        <v>610410</v>
      </c>
      <c r="G750" s="32">
        <f>21734+609</f>
        <v>22343</v>
      </c>
      <c r="H750" s="32">
        <f>21734+609</f>
        <v>22343</v>
      </c>
    </row>
    <row r="751" spans="1:8" s="2" customFormat="1">
      <c r="A751" s="5" t="s">
        <v>370</v>
      </c>
      <c r="B751" s="9" t="s">
        <v>616</v>
      </c>
      <c r="C751" s="2" t="s">
        <v>316</v>
      </c>
      <c r="D751" s="2">
        <v>110000</v>
      </c>
      <c r="E751" s="20" t="s">
        <v>471</v>
      </c>
      <c r="F751" s="2">
        <v>610410</v>
      </c>
      <c r="G751" s="32">
        <f>22924+642</f>
        <v>23566</v>
      </c>
      <c r="H751" s="32">
        <f>22924+642</f>
        <v>23566</v>
      </c>
    </row>
    <row r="752" spans="1:8" s="2" customFormat="1">
      <c r="A752" s="5" t="s">
        <v>371</v>
      </c>
      <c r="B752" s="9" t="s">
        <v>617</v>
      </c>
      <c r="C752" s="2" t="s">
        <v>316</v>
      </c>
      <c r="D752" s="2">
        <v>110000</v>
      </c>
      <c r="E752" s="20" t="s">
        <v>471</v>
      </c>
      <c r="F752" s="2">
        <v>610410</v>
      </c>
      <c r="G752" s="32">
        <f>25834+723</f>
        <v>26557</v>
      </c>
      <c r="H752" s="32">
        <f>25834+723</f>
        <v>26557</v>
      </c>
    </row>
    <row r="753" spans="1:8" s="2" customFormat="1">
      <c r="A753" s="5" t="s">
        <v>372</v>
      </c>
      <c r="B753" s="2" t="s">
        <v>618</v>
      </c>
      <c r="C753" s="2" t="s">
        <v>316</v>
      </c>
      <c r="D753" s="2">
        <v>110000</v>
      </c>
      <c r="E753" s="20" t="s">
        <v>471</v>
      </c>
      <c r="F753" s="2">
        <v>610410</v>
      </c>
      <c r="G753" s="32">
        <f>25020+701</f>
        <v>25721</v>
      </c>
      <c r="H753" s="32">
        <f>25020+701</f>
        <v>25721</v>
      </c>
    </row>
    <row r="754" spans="1:8" s="13" customFormat="1">
      <c r="A754" s="5" t="s">
        <v>373</v>
      </c>
      <c r="B754" s="9" t="s">
        <v>619</v>
      </c>
      <c r="C754" s="2" t="s">
        <v>316</v>
      </c>
      <c r="D754" s="2">
        <v>110000</v>
      </c>
      <c r="E754" s="20" t="s">
        <v>471</v>
      </c>
      <c r="F754" s="2">
        <v>610410</v>
      </c>
      <c r="G754" s="32">
        <f>24708+692</f>
        <v>25400</v>
      </c>
      <c r="H754" s="32">
        <f>24708+692</f>
        <v>25400</v>
      </c>
    </row>
    <row r="755" spans="1:8" s="2" customFormat="1">
      <c r="A755" s="5" t="s">
        <v>374</v>
      </c>
      <c r="B755" s="2" t="s">
        <v>2754</v>
      </c>
      <c r="C755" s="2" t="s">
        <v>316</v>
      </c>
      <c r="D755" s="2">
        <v>110000</v>
      </c>
      <c r="E755" s="20" t="s">
        <v>471</v>
      </c>
      <c r="F755" s="2">
        <v>610410</v>
      </c>
      <c r="G755" s="32">
        <f>24708+692</f>
        <v>25400</v>
      </c>
      <c r="H755" s="32">
        <f>24708+692</f>
        <v>25400</v>
      </c>
    </row>
    <row r="756" spans="1:8" s="2" customFormat="1">
      <c r="A756" s="5" t="s">
        <v>375</v>
      </c>
      <c r="C756" s="2" t="s">
        <v>316</v>
      </c>
      <c r="D756" s="2">
        <v>110000</v>
      </c>
      <c r="E756" s="20" t="s">
        <v>471</v>
      </c>
      <c r="F756" s="2">
        <v>610410</v>
      </c>
      <c r="G756" s="32">
        <f>20124+563</f>
        <v>20687</v>
      </c>
      <c r="H756" s="32">
        <f>20124+563</f>
        <v>20687</v>
      </c>
    </row>
    <row r="757" spans="1:8" s="2" customFormat="1">
      <c r="A757" s="5"/>
      <c r="B757" s="9"/>
      <c r="C757" s="9"/>
      <c r="E757" s="20"/>
      <c r="G757" s="32"/>
      <c r="H757" s="32"/>
    </row>
    <row r="758" spans="1:8" s="2" customFormat="1">
      <c r="A758" s="6" t="s">
        <v>471</v>
      </c>
      <c r="B758" s="9" t="s">
        <v>2172</v>
      </c>
      <c r="C758" s="9"/>
      <c r="E758" s="20"/>
      <c r="G758" s="32"/>
      <c r="H758" s="32"/>
    </row>
    <row r="759" spans="1:8" s="2" customFormat="1">
      <c r="A759" s="5"/>
      <c r="B759" s="9"/>
      <c r="C759" s="9"/>
      <c r="E759" s="20"/>
      <c r="G759" s="32"/>
      <c r="H759" s="32"/>
    </row>
    <row r="760" spans="1:8" s="2" customFormat="1">
      <c r="A760" s="10" t="s">
        <v>376</v>
      </c>
      <c r="B760" s="4" t="s">
        <v>2755</v>
      </c>
      <c r="C760" s="11" t="s">
        <v>1609</v>
      </c>
      <c r="D760" s="2">
        <v>110000</v>
      </c>
      <c r="E760" s="20" t="s">
        <v>471</v>
      </c>
      <c r="F760" s="2">
        <v>610410</v>
      </c>
      <c r="G760" s="35">
        <f>15799+442</f>
        <v>16241</v>
      </c>
      <c r="H760" s="35">
        <f>15799+442</f>
        <v>16241</v>
      </c>
    </row>
    <row r="761" spans="1:8" s="2" customFormat="1">
      <c r="A761" s="5" t="s">
        <v>377</v>
      </c>
      <c r="B761" s="9" t="s">
        <v>2756</v>
      </c>
      <c r="C761" s="9" t="s">
        <v>1010</v>
      </c>
      <c r="D761" s="2">
        <v>110000</v>
      </c>
      <c r="E761" s="20" t="s">
        <v>471</v>
      </c>
      <c r="F761" s="2">
        <v>610410</v>
      </c>
      <c r="G761" s="32">
        <f>14823+415</f>
        <v>15238</v>
      </c>
      <c r="H761" s="32">
        <f>14823+415</f>
        <v>15238</v>
      </c>
    </row>
    <row r="762" spans="1:8" s="2" customFormat="1">
      <c r="A762" s="5" t="s">
        <v>378</v>
      </c>
      <c r="B762" s="9" t="s">
        <v>613</v>
      </c>
      <c r="C762" s="9" t="s">
        <v>1010</v>
      </c>
      <c r="D762" s="2">
        <v>110000</v>
      </c>
      <c r="E762" s="20" t="s">
        <v>471</v>
      </c>
      <c r="F762" s="2">
        <v>610410</v>
      </c>
      <c r="G762" s="32">
        <v>23186</v>
      </c>
      <c r="H762" s="32">
        <v>23186</v>
      </c>
    </row>
    <row r="763" spans="1:8" s="2" customFormat="1">
      <c r="A763" s="5" t="s">
        <v>379</v>
      </c>
      <c r="B763" s="9" t="s">
        <v>1536</v>
      </c>
      <c r="C763" s="9" t="s">
        <v>1010</v>
      </c>
      <c r="D763" s="2">
        <v>110000</v>
      </c>
      <c r="E763" s="20" t="s">
        <v>471</v>
      </c>
      <c r="F763" s="2">
        <v>610410</v>
      </c>
      <c r="G763" s="32">
        <f>14633+410</f>
        <v>15043</v>
      </c>
      <c r="H763" s="32">
        <f>14633+410</f>
        <v>15043</v>
      </c>
    </row>
    <row r="764" spans="1:8" s="2" customFormat="1">
      <c r="A764" s="5" t="s">
        <v>380</v>
      </c>
      <c r="B764" s="9" t="s">
        <v>1135</v>
      </c>
      <c r="C764" s="9" t="s">
        <v>2757</v>
      </c>
      <c r="D764" s="2">
        <v>110000</v>
      </c>
      <c r="E764" s="20" t="s">
        <v>471</v>
      </c>
      <c r="F764" s="2">
        <v>610410</v>
      </c>
      <c r="G764" s="32">
        <f>14633+410</f>
        <v>15043</v>
      </c>
      <c r="H764" s="32">
        <f>14633+410</f>
        <v>15043</v>
      </c>
    </row>
    <row r="765" spans="1:8" s="2" customFormat="1">
      <c r="A765" s="5"/>
      <c r="C765" s="9" t="s">
        <v>2758</v>
      </c>
      <c r="D765" s="2">
        <v>110000</v>
      </c>
      <c r="E765" s="20" t="s">
        <v>471</v>
      </c>
      <c r="F765" s="2">
        <v>620000</v>
      </c>
      <c r="G765" s="32">
        <v>87343</v>
      </c>
      <c r="H765" s="32">
        <v>87343</v>
      </c>
    </row>
    <row r="766" spans="1:8" s="2" customFormat="1">
      <c r="A766" s="5"/>
      <c r="C766" s="9" t="s">
        <v>2950</v>
      </c>
      <c r="D766" s="2">
        <v>110000</v>
      </c>
      <c r="E766" s="20" t="s">
        <v>471</v>
      </c>
      <c r="F766" s="2">
        <v>610000</v>
      </c>
      <c r="G766" s="32">
        <v>12932</v>
      </c>
      <c r="H766" s="32">
        <v>12932</v>
      </c>
    </row>
    <row r="767" spans="1:8" s="2" customFormat="1">
      <c r="A767" s="5"/>
      <c r="C767" s="9" t="s">
        <v>2951</v>
      </c>
      <c r="D767" s="2">
        <v>110000</v>
      </c>
      <c r="E767" s="20" t="s">
        <v>471</v>
      </c>
      <c r="F767" s="2">
        <v>630000</v>
      </c>
      <c r="G767" s="32">
        <f>(SUM(G731:G766)-G733)*0.2+10374+2039-1151</f>
        <v>173753</v>
      </c>
      <c r="H767" s="32">
        <f>(SUM(H731:H766)-H733)*0.2+10374+2039-1151</f>
        <v>171031.2</v>
      </c>
    </row>
    <row r="768" spans="1:8" s="2" customFormat="1">
      <c r="A768" s="5"/>
      <c r="C768" s="12" t="s">
        <v>1129</v>
      </c>
      <c r="E768" s="20"/>
      <c r="G768" s="32">
        <f>SUM(G731:G767)-G733</f>
        <v>986208</v>
      </c>
      <c r="H768" s="32">
        <f>SUM(H731:H767)-H733</f>
        <v>969877.2</v>
      </c>
    </row>
    <row r="769" spans="1:8" s="2" customFormat="1">
      <c r="A769" s="5"/>
      <c r="C769" s="9" t="s">
        <v>2234</v>
      </c>
      <c r="D769" s="2">
        <v>110000</v>
      </c>
      <c r="E769" s="20" t="s">
        <v>471</v>
      </c>
      <c r="F769" s="2">
        <v>710000</v>
      </c>
      <c r="G769" s="32">
        <f>47236</f>
        <v>47236</v>
      </c>
      <c r="H769" s="32">
        <f>47236</f>
        <v>47236</v>
      </c>
    </row>
    <row r="770" spans="1:8" s="2" customFormat="1">
      <c r="A770" s="5"/>
      <c r="C770" s="9" t="s">
        <v>278</v>
      </c>
      <c r="D770" s="2">
        <v>110000</v>
      </c>
      <c r="E770" s="20" t="s">
        <v>471</v>
      </c>
      <c r="F770" s="2">
        <v>710000</v>
      </c>
      <c r="G770" s="32">
        <v>6106</v>
      </c>
      <c r="H770" s="32">
        <v>6106</v>
      </c>
    </row>
    <row r="771" spans="1:8" s="2" customFormat="1">
      <c r="A771" s="5"/>
      <c r="C771" s="9" t="s">
        <v>279</v>
      </c>
      <c r="D771" s="2">
        <v>110000</v>
      </c>
      <c r="E771" s="20" t="s">
        <v>471</v>
      </c>
      <c r="F771" s="2">
        <v>710000</v>
      </c>
      <c r="G771" s="32">
        <v>5000</v>
      </c>
      <c r="H771" s="32">
        <v>5000</v>
      </c>
    </row>
    <row r="772" spans="1:8" s="2" customFormat="1">
      <c r="A772" s="5"/>
      <c r="C772" s="12" t="s">
        <v>2235</v>
      </c>
      <c r="E772" s="20"/>
      <c r="G772" s="32">
        <f>SUM(G768:G771)</f>
        <v>1044550</v>
      </c>
      <c r="H772" s="32">
        <f>SUM(H768:H771)</f>
        <v>1028219.2</v>
      </c>
    </row>
    <row r="773" spans="1:8" s="13" customFormat="1">
      <c r="A773" s="5"/>
      <c r="B773" s="2"/>
      <c r="C773" s="12"/>
      <c r="D773" s="2"/>
      <c r="E773" s="20"/>
      <c r="F773" s="2"/>
      <c r="G773" s="32"/>
      <c r="H773" s="32"/>
    </row>
    <row r="774" spans="1:8" s="2" customFormat="1">
      <c r="A774" s="5" t="s">
        <v>471</v>
      </c>
      <c r="B774" s="2" t="s">
        <v>977</v>
      </c>
      <c r="C774" s="12"/>
      <c r="E774" s="20"/>
      <c r="G774" s="32"/>
      <c r="H774" s="32"/>
    </row>
    <row r="775" spans="1:8" s="2" customFormat="1">
      <c r="A775" s="5"/>
      <c r="C775" s="12"/>
      <c r="E775" s="20"/>
      <c r="G775" s="32"/>
      <c r="H775" s="32"/>
    </row>
    <row r="776" spans="1:8" s="2" customFormat="1">
      <c r="A776" s="5" t="s">
        <v>381</v>
      </c>
      <c r="B776" s="2" t="s">
        <v>978</v>
      </c>
      <c r="C776" s="9" t="s">
        <v>316</v>
      </c>
      <c r="D776" s="2">
        <v>110000</v>
      </c>
      <c r="E776" s="20" t="s">
        <v>471</v>
      </c>
      <c r="F776" s="2">
        <v>610410</v>
      </c>
      <c r="G776" s="32">
        <f>22924+642</f>
        <v>23566</v>
      </c>
      <c r="H776" s="32">
        <f>22924+642</f>
        <v>23566</v>
      </c>
    </row>
    <row r="777" spans="1:8" s="2" customFormat="1">
      <c r="A777" s="5" t="s">
        <v>382</v>
      </c>
      <c r="B777" s="2" t="s">
        <v>2843</v>
      </c>
      <c r="C777" s="9" t="s">
        <v>316</v>
      </c>
      <c r="D777" s="2">
        <v>110000</v>
      </c>
      <c r="E777" s="20" t="s">
        <v>471</v>
      </c>
      <c r="F777" s="2">
        <v>610410</v>
      </c>
      <c r="G777" s="32">
        <f>18860+528</f>
        <v>19388</v>
      </c>
      <c r="H777" s="32">
        <f>18860+528</f>
        <v>19388</v>
      </c>
    </row>
    <row r="778" spans="1:8" s="2" customFormat="1">
      <c r="A778" s="5" t="s">
        <v>383</v>
      </c>
      <c r="B778" s="2" t="s">
        <v>979</v>
      </c>
      <c r="C778" s="9" t="s">
        <v>316</v>
      </c>
      <c r="D778" s="2">
        <v>110000</v>
      </c>
      <c r="E778" s="20" t="s">
        <v>471</v>
      </c>
      <c r="F778" s="2">
        <v>610410</v>
      </c>
      <c r="G778" s="32">
        <f>22924+642</f>
        <v>23566</v>
      </c>
      <c r="H778" s="32">
        <f>22924+642</f>
        <v>23566</v>
      </c>
    </row>
    <row r="779" spans="1:8" s="2" customFormat="1">
      <c r="A779" s="5"/>
      <c r="C779" s="9" t="s">
        <v>2951</v>
      </c>
      <c r="D779" s="2">
        <v>110000</v>
      </c>
      <c r="E779" s="20" t="s">
        <v>471</v>
      </c>
      <c r="F779" s="2">
        <v>630000</v>
      </c>
      <c r="G779" s="32">
        <f>SUM(G776:G778)*0.19</f>
        <v>12638.8</v>
      </c>
      <c r="H779" s="32">
        <f>SUM(H776:H778)*0.19</f>
        <v>12638.8</v>
      </c>
    </row>
    <row r="780" spans="1:8" s="2" customFormat="1">
      <c r="A780" s="5"/>
      <c r="C780" s="12" t="s">
        <v>1129</v>
      </c>
      <c r="E780" s="20"/>
      <c r="G780" s="32">
        <f>SUM(G776:G779)</f>
        <v>79158.8</v>
      </c>
      <c r="H780" s="32">
        <f>SUM(G780)</f>
        <v>79158.8</v>
      </c>
    </row>
    <row r="781" spans="1:8" s="2" customFormat="1">
      <c r="A781" s="5"/>
      <c r="C781" s="12" t="s">
        <v>2235</v>
      </c>
      <c r="E781" s="20"/>
      <c r="G781" s="32">
        <f>SUM(G780)</f>
        <v>79158.8</v>
      </c>
      <c r="H781" s="32">
        <f>SUM(G781)</f>
        <v>79158.8</v>
      </c>
    </row>
    <row r="782" spans="1:8" s="2" customFormat="1">
      <c r="A782" s="5"/>
      <c r="C782" s="12"/>
      <c r="E782" s="20"/>
      <c r="G782" s="32"/>
      <c r="H782" s="32"/>
    </row>
    <row r="783" spans="1:8" s="2" customFormat="1">
      <c r="A783" s="6" t="s">
        <v>2504</v>
      </c>
      <c r="B783" s="2" t="s">
        <v>1220</v>
      </c>
      <c r="E783" s="20"/>
      <c r="G783" s="32"/>
      <c r="H783" s="32"/>
    </row>
    <row r="784" spans="1:8" s="2" customFormat="1">
      <c r="A784" s="5"/>
      <c r="E784" s="20"/>
      <c r="G784" s="32"/>
      <c r="H784" s="32"/>
    </row>
    <row r="785" spans="1:8" s="2" customFormat="1">
      <c r="A785" s="5" t="s">
        <v>831</v>
      </c>
      <c r="B785" s="2" t="s">
        <v>1221</v>
      </c>
      <c r="C785" s="9" t="s">
        <v>1592</v>
      </c>
      <c r="D785" s="2">
        <v>110000</v>
      </c>
      <c r="E785" s="20">
        <v>330000</v>
      </c>
      <c r="F785" s="2">
        <v>610210</v>
      </c>
      <c r="G785" s="32">
        <f>68532+2611</f>
        <v>71143</v>
      </c>
      <c r="H785" s="32">
        <f>68532+2611</f>
        <v>71143</v>
      </c>
    </row>
    <row r="786" spans="1:8" s="2" customFormat="1">
      <c r="A786" s="5" t="s">
        <v>832</v>
      </c>
      <c r="C786" s="9" t="s">
        <v>1222</v>
      </c>
      <c r="D786" s="2">
        <v>110000</v>
      </c>
      <c r="E786" s="20">
        <v>330000</v>
      </c>
      <c r="F786" s="2">
        <v>610210</v>
      </c>
      <c r="G786" s="32">
        <v>20145</v>
      </c>
      <c r="H786" s="32">
        <v>20145</v>
      </c>
    </row>
    <row r="787" spans="1:8" s="2" customFormat="1">
      <c r="A787" s="5"/>
      <c r="C787" s="9"/>
      <c r="D787" s="2">
        <v>130030</v>
      </c>
      <c r="E787" s="20" t="s">
        <v>3034</v>
      </c>
      <c r="F787" s="2">
        <v>610210</v>
      </c>
      <c r="G787" s="32">
        <v>15855</v>
      </c>
      <c r="H787" s="32"/>
    </row>
    <row r="788" spans="1:8" s="2" customFormat="1">
      <c r="A788" s="5"/>
      <c r="C788" s="9"/>
      <c r="E788" s="9" t="s">
        <v>2880</v>
      </c>
      <c r="G788" s="32">
        <f>SUM(G786:G787)</f>
        <v>36000</v>
      </c>
      <c r="H788" s="32">
        <f>SUM(H786:H787)</f>
        <v>20145</v>
      </c>
    </row>
    <row r="789" spans="1:8" s="2" customFormat="1">
      <c r="A789" s="5"/>
      <c r="C789" s="9" t="s">
        <v>1611</v>
      </c>
      <c r="D789" s="2">
        <v>110000</v>
      </c>
      <c r="E789" s="20">
        <v>330000</v>
      </c>
      <c r="F789" s="2">
        <v>620000</v>
      </c>
      <c r="G789" s="32"/>
      <c r="H789" s="32"/>
    </row>
    <row r="790" spans="1:8" s="2" customFormat="1">
      <c r="A790" s="5"/>
      <c r="C790" s="9" t="s">
        <v>2950</v>
      </c>
      <c r="D790" s="2">
        <v>110000</v>
      </c>
      <c r="E790" s="20">
        <v>330000</v>
      </c>
      <c r="F790" s="2">
        <v>610000</v>
      </c>
      <c r="G790" s="32"/>
      <c r="H790" s="32"/>
    </row>
    <row r="791" spans="1:8" s="2" customFormat="1">
      <c r="A791" s="5"/>
      <c r="C791" s="9" t="s">
        <v>2951</v>
      </c>
      <c r="D791" s="2">
        <v>110000</v>
      </c>
      <c r="E791" s="20">
        <v>330000</v>
      </c>
      <c r="F791" s="2">
        <v>630000</v>
      </c>
      <c r="G791" s="32">
        <f>(SUM(G785:G790)-G788)*0.2</f>
        <v>21428.600000000002</v>
      </c>
      <c r="H791" s="32">
        <f>(SUM(H785:H790)-H788)*0.2</f>
        <v>18257.600000000002</v>
      </c>
    </row>
    <row r="792" spans="1:8" s="2" customFormat="1">
      <c r="A792" s="5"/>
      <c r="C792" s="12" t="s">
        <v>1129</v>
      </c>
      <c r="E792" s="20"/>
      <c r="G792" s="32">
        <f>SUM(G785:G791)-G788</f>
        <v>128571.6</v>
      </c>
      <c r="H792" s="32">
        <f>SUM(H785:H791)-H788</f>
        <v>109545.60000000001</v>
      </c>
    </row>
    <row r="793" spans="1:8" s="2" customFormat="1">
      <c r="A793" s="5"/>
      <c r="C793" s="9" t="s">
        <v>2234</v>
      </c>
      <c r="D793" s="2">
        <v>110000</v>
      </c>
      <c r="E793" s="20">
        <v>330000</v>
      </c>
      <c r="F793" s="2">
        <v>710000</v>
      </c>
      <c r="G793" s="32">
        <v>1700</v>
      </c>
      <c r="H793" s="32">
        <v>1700</v>
      </c>
    </row>
    <row r="794" spans="1:8" s="2" customFormat="1">
      <c r="A794" s="5"/>
      <c r="C794" s="12" t="s">
        <v>2235</v>
      </c>
      <c r="E794" s="20"/>
      <c r="G794" s="32">
        <f>G792+G793</f>
        <v>130271.6</v>
      </c>
      <c r="H794" s="32">
        <f>H792+H793</f>
        <v>111245.6</v>
      </c>
    </row>
    <row r="795" spans="1:8" s="2" customFormat="1">
      <c r="A795" s="5"/>
      <c r="E795" s="20"/>
      <c r="G795" s="32"/>
      <c r="H795" s="32"/>
    </row>
    <row r="796" spans="1:8" s="2" customFormat="1">
      <c r="A796" s="6" t="s">
        <v>469</v>
      </c>
      <c r="B796" s="9" t="s">
        <v>2252</v>
      </c>
      <c r="E796" s="20"/>
      <c r="G796" s="32"/>
      <c r="H796" s="32"/>
    </row>
    <row r="797" spans="1:8" s="2" customFormat="1">
      <c r="A797" s="5"/>
      <c r="E797" s="20"/>
      <c r="G797" s="32"/>
      <c r="H797" s="32"/>
    </row>
    <row r="798" spans="1:8" s="2" customFormat="1">
      <c r="A798" s="5" t="s">
        <v>835</v>
      </c>
      <c r="B798" s="9" t="s">
        <v>1161</v>
      </c>
      <c r="C798" s="9" t="s">
        <v>2819</v>
      </c>
      <c r="D798" s="2">
        <v>110000</v>
      </c>
      <c r="E798" s="20">
        <v>330100</v>
      </c>
      <c r="F798" s="2">
        <v>610210</v>
      </c>
      <c r="G798" s="32">
        <f>62500+1463</f>
        <v>63963</v>
      </c>
      <c r="H798" s="32">
        <f>62500+1463</f>
        <v>63963</v>
      </c>
    </row>
    <row r="799" spans="1:8" s="2" customFormat="1">
      <c r="A799" s="5" t="s">
        <v>836</v>
      </c>
      <c r="B799" s="9" t="s">
        <v>2253</v>
      </c>
      <c r="C799" s="9" t="s">
        <v>2170</v>
      </c>
      <c r="D799" s="2">
        <v>110000</v>
      </c>
      <c r="E799" s="20">
        <v>330100</v>
      </c>
      <c r="F799" s="2">
        <v>610210</v>
      </c>
      <c r="G799" s="32">
        <f>40578+1156</f>
        <v>41734</v>
      </c>
      <c r="H799" s="32">
        <f>40578+1156</f>
        <v>41734</v>
      </c>
    </row>
    <row r="800" spans="1:8" s="2" customFormat="1">
      <c r="A800" s="5" t="s">
        <v>837</v>
      </c>
      <c r="B800" s="2" t="s">
        <v>2254</v>
      </c>
      <c r="C800" s="9" t="s">
        <v>2170</v>
      </c>
      <c r="D800" s="2">
        <v>110000</v>
      </c>
      <c r="E800" s="20">
        <v>330100</v>
      </c>
      <c r="F800" s="2">
        <v>610210</v>
      </c>
      <c r="G800" s="32">
        <f>38750+814</f>
        <v>39564</v>
      </c>
      <c r="H800" s="32">
        <f>38750+814</f>
        <v>39564</v>
      </c>
    </row>
    <row r="801" spans="1:8" s="2" customFormat="1">
      <c r="A801" s="5" t="s">
        <v>838</v>
      </c>
      <c r="B801" s="9" t="s">
        <v>287</v>
      </c>
      <c r="C801" s="9" t="s">
        <v>2170</v>
      </c>
      <c r="D801" s="2">
        <v>110000</v>
      </c>
      <c r="E801" s="20">
        <v>330100</v>
      </c>
      <c r="F801" s="2">
        <v>610210</v>
      </c>
      <c r="G801" s="32">
        <f>40663+1159</f>
        <v>41822</v>
      </c>
      <c r="H801" s="32">
        <f>40663+1159</f>
        <v>41822</v>
      </c>
    </row>
    <row r="802" spans="1:8" s="2" customFormat="1">
      <c r="A802" s="5" t="s">
        <v>839</v>
      </c>
      <c r="B802" s="9" t="s">
        <v>288</v>
      </c>
      <c r="C802" s="9" t="s">
        <v>2170</v>
      </c>
      <c r="D802" s="2">
        <v>110000</v>
      </c>
      <c r="E802" s="20">
        <v>330100</v>
      </c>
      <c r="F802" s="2">
        <v>610210</v>
      </c>
      <c r="G802" s="32">
        <f>35062+736</f>
        <v>35798</v>
      </c>
      <c r="H802" s="32">
        <f>35062+736</f>
        <v>35798</v>
      </c>
    </row>
    <row r="803" spans="1:8" s="2" customFormat="1">
      <c r="A803" s="5" t="s">
        <v>840</v>
      </c>
      <c r="B803" s="9"/>
      <c r="C803" s="9" t="s">
        <v>2877</v>
      </c>
      <c r="D803" s="2">
        <v>110000</v>
      </c>
      <c r="E803" s="20">
        <v>330100</v>
      </c>
      <c r="F803" s="2">
        <v>610210</v>
      </c>
      <c r="G803" s="32">
        <v>31200</v>
      </c>
      <c r="H803" s="32">
        <v>31200</v>
      </c>
    </row>
    <row r="804" spans="1:8" s="2" customFormat="1">
      <c r="A804" s="5" t="s">
        <v>841</v>
      </c>
      <c r="B804" s="9" t="s">
        <v>296</v>
      </c>
      <c r="C804" s="9" t="s">
        <v>1608</v>
      </c>
      <c r="D804" s="2">
        <v>110000</v>
      </c>
      <c r="E804" s="20">
        <v>330100</v>
      </c>
      <c r="F804" s="2">
        <v>610210</v>
      </c>
      <c r="G804" s="32">
        <f>31000+961</f>
        <v>31961</v>
      </c>
      <c r="H804" s="32">
        <f>31000+961</f>
        <v>31961</v>
      </c>
    </row>
    <row r="805" spans="1:8" s="2" customFormat="1">
      <c r="A805" s="5" t="s">
        <v>842</v>
      </c>
      <c r="B805" s="9" t="s">
        <v>1162</v>
      </c>
      <c r="C805" s="9" t="s">
        <v>289</v>
      </c>
      <c r="D805" s="2">
        <v>110000</v>
      </c>
      <c r="E805" s="20">
        <v>330100</v>
      </c>
      <c r="F805" s="2">
        <v>610410</v>
      </c>
      <c r="G805" s="32">
        <f>29235+819</f>
        <v>30054</v>
      </c>
      <c r="H805" s="32">
        <f>29235+819</f>
        <v>30054</v>
      </c>
    </row>
    <row r="806" spans="1:8" s="2" customFormat="1">
      <c r="A806" s="5" t="s">
        <v>843</v>
      </c>
      <c r="B806" s="9" t="s">
        <v>290</v>
      </c>
      <c r="C806" s="9" t="s">
        <v>291</v>
      </c>
      <c r="D806" s="2">
        <v>110000</v>
      </c>
      <c r="E806" s="20">
        <v>330100</v>
      </c>
      <c r="F806" s="2">
        <v>610410</v>
      </c>
      <c r="G806" s="32">
        <f>36044+1009</f>
        <v>37053</v>
      </c>
      <c r="H806" s="32">
        <f>36044+1009</f>
        <v>37053</v>
      </c>
    </row>
    <row r="807" spans="1:8" s="2" customFormat="1">
      <c r="A807" s="5" t="s">
        <v>844</v>
      </c>
      <c r="B807" s="9" t="s">
        <v>292</v>
      </c>
      <c r="C807" s="9" t="s">
        <v>291</v>
      </c>
      <c r="D807" s="2">
        <v>110000</v>
      </c>
      <c r="E807" s="20">
        <v>330100</v>
      </c>
      <c r="F807" s="2">
        <v>610410</v>
      </c>
      <c r="G807" s="32">
        <f>34853+976</f>
        <v>35829</v>
      </c>
      <c r="H807" s="32">
        <f>34853+976</f>
        <v>35829</v>
      </c>
    </row>
    <row r="808" spans="1:8" s="2" customFormat="1">
      <c r="A808" s="5" t="s">
        <v>845</v>
      </c>
      <c r="B808" s="9" t="s">
        <v>293</v>
      </c>
      <c r="C808" s="9" t="s">
        <v>291</v>
      </c>
      <c r="D808" s="2">
        <v>110000</v>
      </c>
      <c r="E808" s="20">
        <v>330100</v>
      </c>
      <c r="F808" s="2">
        <v>610410</v>
      </c>
      <c r="G808" s="32">
        <f>26192+733</f>
        <v>26925</v>
      </c>
      <c r="H808" s="32">
        <f>26192+733</f>
        <v>26925</v>
      </c>
    </row>
    <row r="809" spans="1:8" s="2" customFormat="1">
      <c r="A809" s="5" t="s">
        <v>846</v>
      </c>
      <c r="B809" s="9" t="s">
        <v>866</v>
      </c>
      <c r="C809" s="9" t="s">
        <v>2877</v>
      </c>
      <c r="D809" s="2">
        <v>110000</v>
      </c>
      <c r="E809" s="20">
        <v>330100</v>
      </c>
      <c r="F809" s="2">
        <v>610410</v>
      </c>
      <c r="G809" s="32">
        <f>21366+598</f>
        <v>21964</v>
      </c>
      <c r="H809" s="32">
        <f>21366+598</f>
        <v>21964</v>
      </c>
    </row>
    <row r="810" spans="1:8" s="2" customFormat="1">
      <c r="A810" s="5" t="s">
        <v>847</v>
      </c>
      <c r="B810" s="9" t="s">
        <v>294</v>
      </c>
      <c r="C810" s="9" t="s">
        <v>2877</v>
      </c>
      <c r="D810" s="2">
        <v>110000</v>
      </c>
      <c r="E810" s="20">
        <v>330100</v>
      </c>
      <c r="F810" s="2">
        <v>610410</v>
      </c>
      <c r="G810" s="32">
        <f>31579+884</f>
        <v>32463</v>
      </c>
      <c r="H810" s="32">
        <f>31579+884</f>
        <v>32463</v>
      </c>
    </row>
    <row r="811" spans="1:8" s="2" customFormat="1">
      <c r="A811" s="5" t="s">
        <v>848</v>
      </c>
      <c r="B811" s="2" t="s">
        <v>2415</v>
      </c>
      <c r="C811" s="9" t="s">
        <v>2877</v>
      </c>
      <c r="D811" s="2">
        <v>110000</v>
      </c>
      <c r="E811" s="20">
        <v>330100</v>
      </c>
      <c r="F811" s="2">
        <v>610410</v>
      </c>
      <c r="G811" s="32">
        <v>21964</v>
      </c>
      <c r="H811" s="32">
        <v>21964</v>
      </c>
    </row>
    <row r="812" spans="1:8" s="2" customFormat="1">
      <c r="A812" s="5" t="s">
        <v>849</v>
      </c>
      <c r="B812" s="2" t="s">
        <v>2416</v>
      </c>
      <c r="C812" s="9" t="s">
        <v>2877</v>
      </c>
      <c r="D812" s="2">
        <v>110000</v>
      </c>
      <c r="E812" s="20">
        <v>330100</v>
      </c>
      <c r="F812" s="2">
        <v>610410</v>
      </c>
      <c r="G812" s="32">
        <v>21964</v>
      </c>
      <c r="H812" s="32">
        <v>21964</v>
      </c>
    </row>
    <row r="813" spans="1:8" s="2" customFormat="1">
      <c r="A813" s="5" t="s">
        <v>850</v>
      </c>
      <c r="B813" s="9"/>
      <c r="C813" s="9" t="s">
        <v>2877</v>
      </c>
      <c r="D813" s="2">
        <v>110000</v>
      </c>
      <c r="E813" s="20">
        <v>330100</v>
      </c>
      <c r="F813" s="2">
        <v>610410</v>
      </c>
      <c r="G813" s="32">
        <v>21367</v>
      </c>
      <c r="H813" s="32">
        <v>21367</v>
      </c>
    </row>
    <row r="814" spans="1:8" s="2" customFormat="1">
      <c r="A814" s="5" t="s">
        <v>851</v>
      </c>
      <c r="B814" s="9" t="s">
        <v>1163</v>
      </c>
      <c r="C814" s="9" t="s">
        <v>2877</v>
      </c>
      <c r="D814" s="2">
        <v>110000</v>
      </c>
      <c r="E814" s="20">
        <v>330100</v>
      </c>
      <c r="F814" s="2">
        <v>610410</v>
      </c>
      <c r="G814" s="32">
        <v>22390</v>
      </c>
      <c r="H814" s="32">
        <v>22390</v>
      </c>
    </row>
    <row r="815" spans="1:8" s="2" customFormat="1">
      <c r="A815" s="5" t="s">
        <v>852</v>
      </c>
      <c r="B815" s="9" t="s">
        <v>1164</v>
      </c>
      <c r="C815" s="9" t="s">
        <v>2877</v>
      </c>
      <c r="D815" s="2">
        <v>110000</v>
      </c>
      <c r="E815" s="20">
        <v>330100</v>
      </c>
      <c r="F815" s="2">
        <v>610410</v>
      </c>
      <c r="G815" s="32">
        <f>23611+661</f>
        <v>24272</v>
      </c>
      <c r="H815" s="32">
        <f>23611+661</f>
        <v>24272</v>
      </c>
    </row>
    <row r="816" spans="1:8" s="2" customFormat="1">
      <c r="A816" s="5" t="s">
        <v>853</v>
      </c>
      <c r="B816" s="9" t="s">
        <v>2607</v>
      </c>
      <c r="C816" s="9" t="s">
        <v>2877</v>
      </c>
      <c r="D816" s="2">
        <v>110000</v>
      </c>
      <c r="E816" s="20">
        <v>330100</v>
      </c>
      <c r="F816" s="2">
        <v>610410</v>
      </c>
      <c r="G816" s="32">
        <f>21645+606</f>
        <v>22251</v>
      </c>
      <c r="H816" s="32">
        <f>21645+606</f>
        <v>22251</v>
      </c>
    </row>
    <row r="817" spans="1:8" s="2" customFormat="1">
      <c r="A817" s="5" t="s">
        <v>854</v>
      </c>
      <c r="B817" s="9" t="s">
        <v>2608</v>
      </c>
      <c r="C817" s="9" t="s">
        <v>2609</v>
      </c>
      <c r="D817" s="2">
        <v>110000</v>
      </c>
      <c r="E817" s="20">
        <v>330100</v>
      </c>
      <c r="F817" s="2">
        <v>610410</v>
      </c>
      <c r="G817" s="32">
        <f>27824+779</f>
        <v>28603</v>
      </c>
      <c r="H817" s="32">
        <f>27824+779</f>
        <v>28603</v>
      </c>
    </row>
    <row r="818" spans="1:8" s="2" customFormat="1">
      <c r="A818" s="5" t="s">
        <v>855</v>
      </c>
      <c r="B818" s="9" t="s">
        <v>2610</v>
      </c>
      <c r="C818" s="9" t="s">
        <v>2611</v>
      </c>
      <c r="D818" s="2">
        <v>110000</v>
      </c>
      <c r="E818" s="20">
        <v>330100</v>
      </c>
      <c r="F818" s="2">
        <v>610410</v>
      </c>
      <c r="G818" s="32">
        <f>20973+587</f>
        <v>21560</v>
      </c>
      <c r="H818" s="32">
        <f>20973+587</f>
        <v>21560</v>
      </c>
    </row>
    <row r="819" spans="1:8" s="2" customFormat="1">
      <c r="A819" s="5" t="s">
        <v>856</v>
      </c>
      <c r="B819" s="9" t="s">
        <v>2612</v>
      </c>
      <c r="C819" s="9" t="s">
        <v>2611</v>
      </c>
      <c r="D819" s="2">
        <v>110000</v>
      </c>
      <c r="E819" s="20">
        <v>330100</v>
      </c>
      <c r="F819" s="2">
        <v>610410</v>
      </c>
      <c r="G819" s="32">
        <f>21393+599</f>
        <v>21992</v>
      </c>
      <c r="H819" s="32">
        <f>21393+599</f>
        <v>21992</v>
      </c>
    </row>
    <row r="820" spans="1:8" s="2" customFormat="1">
      <c r="A820" s="5" t="s">
        <v>857</v>
      </c>
      <c r="B820" s="9" t="s">
        <v>2613</v>
      </c>
      <c r="C820" s="9" t="s">
        <v>2611</v>
      </c>
      <c r="D820" s="2">
        <v>110000</v>
      </c>
      <c r="E820" s="20">
        <v>330100</v>
      </c>
      <c r="F820" s="2">
        <v>610410</v>
      </c>
      <c r="G820" s="32">
        <f>21393+599</f>
        <v>21992</v>
      </c>
      <c r="H820" s="32">
        <f>21393+599</f>
        <v>21992</v>
      </c>
    </row>
    <row r="821" spans="1:8" s="2" customFormat="1">
      <c r="A821" s="5" t="s">
        <v>858</v>
      </c>
      <c r="B821" s="11" t="s">
        <v>2614</v>
      </c>
      <c r="C821" s="11" t="s">
        <v>2611</v>
      </c>
      <c r="D821" s="2">
        <v>110000</v>
      </c>
      <c r="E821" s="20">
        <v>330100</v>
      </c>
      <c r="F821" s="2">
        <v>610410</v>
      </c>
      <c r="G821" s="35">
        <f>17924+502</f>
        <v>18426</v>
      </c>
      <c r="H821" s="35">
        <f>17924+502</f>
        <v>18426</v>
      </c>
    </row>
    <row r="822" spans="1:8" s="2" customFormat="1">
      <c r="A822" s="5" t="s">
        <v>859</v>
      </c>
      <c r="B822" s="9" t="s">
        <v>2615</v>
      </c>
      <c r="C822" s="9" t="s">
        <v>2611</v>
      </c>
      <c r="D822" s="2">
        <v>110000</v>
      </c>
      <c r="E822" s="20">
        <v>330100</v>
      </c>
      <c r="F822" s="2">
        <v>610410</v>
      </c>
      <c r="G822" s="32">
        <f>25585+716</f>
        <v>26301</v>
      </c>
      <c r="H822" s="32">
        <f>25585+716</f>
        <v>26301</v>
      </c>
    </row>
    <row r="823" spans="1:8" s="2" customFormat="1">
      <c r="A823" s="5" t="s">
        <v>860</v>
      </c>
      <c r="B823" s="9" t="s">
        <v>1165</v>
      </c>
      <c r="C823" s="9" t="s">
        <v>2611</v>
      </c>
      <c r="D823" s="2">
        <v>110000</v>
      </c>
      <c r="E823" s="20">
        <v>330100</v>
      </c>
      <c r="F823" s="2">
        <v>610410</v>
      </c>
      <c r="G823" s="32">
        <f>17694+495</f>
        <v>18189</v>
      </c>
      <c r="H823" s="32">
        <f>17694+495</f>
        <v>18189</v>
      </c>
    </row>
    <row r="824" spans="1:8" s="2" customFormat="1">
      <c r="A824" s="5"/>
      <c r="B824" s="9"/>
      <c r="C824" s="9"/>
      <c r="E824" s="20"/>
      <c r="G824" s="32"/>
      <c r="H824" s="32"/>
    </row>
    <row r="825" spans="1:8" s="2" customFormat="1">
      <c r="A825" s="6" t="s">
        <v>469</v>
      </c>
      <c r="B825" s="9" t="s">
        <v>2252</v>
      </c>
      <c r="C825" s="9"/>
      <c r="E825" s="20"/>
      <c r="G825" s="32"/>
      <c r="H825" s="32"/>
    </row>
    <row r="826" spans="1:8" s="2" customFormat="1">
      <c r="A826" s="5"/>
      <c r="B826" s="9"/>
      <c r="C826" s="9"/>
      <c r="E826" s="20"/>
      <c r="G826" s="32"/>
      <c r="H826" s="32"/>
    </row>
    <row r="827" spans="1:8" s="2" customFormat="1">
      <c r="A827" s="5" t="s">
        <v>861</v>
      </c>
      <c r="B827" s="9" t="s">
        <v>2616</v>
      </c>
      <c r="C827" s="9" t="s">
        <v>2617</v>
      </c>
      <c r="D827" s="2">
        <v>110000</v>
      </c>
      <c r="E827" s="20">
        <v>330100</v>
      </c>
      <c r="F827" s="2">
        <v>610410</v>
      </c>
      <c r="G827" s="32">
        <f>21813+611</f>
        <v>22424</v>
      </c>
      <c r="H827" s="32">
        <f>21813+611</f>
        <v>22424</v>
      </c>
    </row>
    <row r="828" spans="1:8" s="2" customFormat="1">
      <c r="A828" s="5" t="s">
        <v>862</v>
      </c>
      <c r="B828" s="9" t="s">
        <v>867</v>
      </c>
      <c r="C828" s="9" t="s">
        <v>2877</v>
      </c>
      <c r="D828" s="2">
        <v>110000</v>
      </c>
      <c r="E828" s="20">
        <v>330100</v>
      </c>
      <c r="F828" s="2">
        <v>610410</v>
      </c>
      <c r="G828" s="32">
        <f>33702+944</f>
        <v>34646</v>
      </c>
      <c r="H828" s="32">
        <f>33702+944</f>
        <v>34646</v>
      </c>
    </row>
    <row r="829" spans="1:8" s="2" customFormat="1">
      <c r="A829" s="5" t="s">
        <v>863</v>
      </c>
      <c r="B829" s="9"/>
      <c r="C829" s="9" t="s">
        <v>2877</v>
      </c>
      <c r="D829" s="2">
        <v>110000</v>
      </c>
      <c r="E829" s="20">
        <v>330100</v>
      </c>
      <c r="F829" s="2">
        <v>610410</v>
      </c>
      <c r="G829" s="32">
        <v>28200</v>
      </c>
      <c r="H829" s="32">
        <v>28200</v>
      </c>
    </row>
    <row r="830" spans="1:8" s="2" customFormat="1">
      <c r="A830" s="5" t="s">
        <v>864</v>
      </c>
      <c r="B830" s="9" t="s">
        <v>2618</v>
      </c>
      <c r="C830" s="9" t="s">
        <v>2877</v>
      </c>
      <c r="D830" s="2">
        <v>110000</v>
      </c>
      <c r="E830" s="20">
        <v>330100</v>
      </c>
      <c r="F830" s="2">
        <v>610410</v>
      </c>
      <c r="G830" s="32">
        <f>22077+618</f>
        <v>22695</v>
      </c>
      <c r="H830" s="32">
        <f>22077+618</f>
        <v>22695</v>
      </c>
    </row>
    <row r="831" spans="1:8" s="2" customFormat="1">
      <c r="A831" s="5" t="s">
        <v>329</v>
      </c>
      <c r="B831" s="9" t="s">
        <v>1197</v>
      </c>
      <c r="C831" s="9" t="s">
        <v>2611</v>
      </c>
      <c r="D831" s="2">
        <v>110000</v>
      </c>
      <c r="E831" s="20">
        <v>330100</v>
      </c>
      <c r="F831" s="2">
        <v>610410</v>
      </c>
      <c r="G831" s="32">
        <v>18189</v>
      </c>
      <c r="H831" s="32">
        <v>18189</v>
      </c>
    </row>
    <row r="832" spans="1:8" s="2" customFormat="1">
      <c r="A832" s="5"/>
      <c r="C832" s="9" t="s">
        <v>1611</v>
      </c>
      <c r="D832" s="2">
        <v>110000</v>
      </c>
      <c r="E832" s="20">
        <v>330100</v>
      </c>
      <c r="F832" s="2">
        <v>620000</v>
      </c>
      <c r="G832" s="32">
        <v>26000</v>
      </c>
      <c r="H832" s="32">
        <v>26000</v>
      </c>
    </row>
    <row r="833" spans="1:8" s="2" customFormat="1">
      <c r="A833" s="5"/>
      <c r="C833" s="9" t="s">
        <v>2950</v>
      </c>
      <c r="D833" s="2">
        <v>110000</v>
      </c>
      <c r="E833" s="20">
        <v>330100</v>
      </c>
      <c r="F833" s="2">
        <v>610000</v>
      </c>
      <c r="G833" s="32"/>
      <c r="H833" s="32"/>
    </row>
    <row r="834" spans="1:8" s="2" customFormat="1">
      <c r="A834" s="5"/>
      <c r="C834" s="9" t="s">
        <v>2951</v>
      </c>
      <c r="D834" s="2">
        <v>110000</v>
      </c>
      <c r="E834" s="20">
        <v>330100</v>
      </c>
      <c r="F834" s="2">
        <v>630000</v>
      </c>
      <c r="G834" s="32">
        <f>SUM(G798:G833)*0.19+9653</f>
        <v>183266.45</v>
      </c>
      <c r="H834" s="32">
        <f>SUM(H798:H833)*0.19+9653</f>
        <v>183266.45</v>
      </c>
    </row>
    <row r="835" spans="1:8" s="2" customFormat="1">
      <c r="A835" s="5"/>
      <c r="C835" s="8" t="s">
        <v>1129</v>
      </c>
      <c r="E835" s="20"/>
      <c r="G835" s="32">
        <f>SUM(G798:G834)</f>
        <v>1097021.45</v>
      </c>
      <c r="H835" s="32">
        <f>SUM(H798:H834)</f>
        <v>1097021.45</v>
      </c>
    </row>
    <row r="836" spans="1:8" s="2" customFormat="1">
      <c r="A836" s="5"/>
      <c r="C836" s="2" t="s">
        <v>2234</v>
      </c>
      <c r="D836" s="2">
        <v>110000</v>
      </c>
      <c r="E836" s="20">
        <v>330100</v>
      </c>
      <c r="F836" s="2">
        <v>710000</v>
      </c>
      <c r="G836" s="32">
        <f>111394+931.02</f>
        <v>112325.02</v>
      </c>
      <c r="H836" s="32">
        <f>111394+931.02</f>
        <v>112325.02</v>
      </c>
    </row>
    <row r="837" spans="1:8" s="2" customFormat="1">
      <c r="A837" s="5"/>
      <c r="C837" s="8" t="s">
        <v>2235</v>
      </c>
      <c r="E837" s="20"/>
      <c r="G837" s="32">
        <f>G835+G836</f>
        <v>1209346.47</v>
      </c>
      <c r="H837" s="32">
        <f>H835+H836</f>
        <v>1209346.47</v>
      </c>
    </row>
    <row r="838" spans="1:8" s="2" customFormat="1">
      <c r="A838" s="5"/>
      <c r="E838" s="20"/>
      <c r="G838" s="32"/>
      <c r="H838" s="32"/>
    </row>
    <row r="839" spans="1:8" s="2" customFormat="1">
      <c r="A839" s="6" t="s">
        <v>469</v>
      </c>
      <c r="B839" s="9" t="s">
        <v>2164</v>
      </c>
      <c r="E839" s="20"/>
      <c r="G839" s="32"/>
      <c r="H839" s="32"/>
    </row>
    <row r="840" spans="1:8" s="2" customFormat="1">
      <c r="A840" s="5"/>
      <c r="E840" s="20"/>
      <c r="G840" s="32"/>
      <c r="H840" s="32"/>
    </row>
    <row r="841" spans="1:8" s="2" customFormat="1">
      <c r="A841" s="5"/>
      <c r="C841" s="9" t="s">
        <v>2165</v>
      </c>
      <c r="D841" s="2">
        <v>110000</v>
      </c>
      <c r="E841" s="20" t="s">
        <v>469</v>
      </c>
      <c r="F841" s="2">
        <v>710000</v>
      </c>
      <c r="G841" s="32">
        <v>845000</v>
      </c>
      <c r="H841" s="32">
        <v>845000</v>
      </c>
    </row>
    <row r="842" spans="1:8" s="2" customFormat="1">
      <c r="A842" s="5"/>
      <c r="C842" s="9" t="s">
        <v>2166</v>
      </c>
      <c r="D842" s="2">
        <v>110000</v>
      </c>
      <c r="E842" s="20" t="s">
        <v>469</v>
      </c>
      <c r="F842" s="2">
        <v>710000</v>
      </c>
      <c r="G842" s="32">
        <v>-844000</v>
      </c>
      <c r="H842" s="32">
        <v>-844000</v>
      </c>
    </row>
    <row r="843" spans="1:8" s="2" customFormat="1">
      <c r="A843" s="5"/>
      <c r="C843" s="12" t="s">
        <v>2235</v>
      </c>
      <c r="E843" s="20"/>
      <c r="G843" s="32">
        <f>G841+G842</f>
        <v>1000</v>
      </c>
      <c r="H843" s="32">
        <f>H841+H842</f>
        <v>1000</v>
      </c>
    </row>
    <row r="844" spans="1:8" s="2" customFormat="1">
      <c r="A844" s="5"/>
      <c r="E844" s="20"/>
      <c r="G844" s="32"/>
      <c r="H844" s="32"/>
    </row>
    <row r="845" spans="1:8" s="2" customFormat="1">
      <c r="A845" s="6" t="s">
        <v>469</v>
      </c>
      <c r="B845" s="2" t="s">
        <v>2054</v>
      </c>
      <c r="D845" s="26"/>
      <c r="G845" s="32"/>
      <c r="H845" s="32"/>
    </row>
    <row r="846" spans="1:8" s="2" customFormat="1">
      <c r="A846" s="6"/>
      <c r="D846" s="26"/>
      <c r="G846" s="32"/>
      <c r="H846" s="32"/>
    </row>
    <row r="847" spans="1:8" s="2" customFormat="1">
      <c r="A847" s="6"/>
      <c r="C847" s="2" t="s">
        <v>2055</v>
      </c>
      <c r="D847" s="26">
        <v>110000</v>
      </c>
      <c r="E847" s="2">
        <v>330100</v>
      </c>
      <c r="F847" s="2">
        <v>820000</v>
      </c>
      <c r="G847" s="32">
        <f>178029+35000</f>
        <v>213029</v>
      </c>
      <c r="H847" s="32">
        <f>178029+35000</f>
        <v>213029</v>
      </c>
    </row>
    <row r="848" spans="1:8" s="2" customFormat="1">
      <c r="A848" s="6"/>
      <c r="C848" s="8" t="s">
        <v>2235</v>
      </c>
      <c r="D848" s="26"/>
      <c r="G848" s="32">
        <f>G847</f>
        <v>213029</v>
      </c>
      <c r="H848" s="32">
        <f>H847</f>
        <v>213029</v>
      </c>
    </row>
    <row r="849" spans="1:8" s="2" customFormat="1">
      <c r="A849" s="6"/>
      <c r="D849" s="26"/>
      <c r="G849" s="32"/>
      <c r="H849" s="32"/>
    </row>
    <row r="850" spans="1:8" s="2" customFormat="1">
      <c r="A850" s="6" t="s">
        <v>469</v>
      </c>
      <c r="B850" s="2" t="s">
        <v>2451</v>
      </c>
      <c r="D850" s="26"/>
      <c r="G850" s="32"/>
      <c r="H850" s="32"/>
    </row>
    <row r="851" spans="1:8" s="2" customFormat="1">
      <c r="A851" s="6"/>
      <c r="D851" s="26"/>
      <c r="G851" s="32"/>
      <c r="H851" s="32"/>
    </row>
    <row r="852" spans="1:8" s="2" customFormat="1">
      <c r="A852" s="20"/>
      <c r="C852" s="2" t="s">
        <v>2452</v>
      </c>
      <c r="D852" s="26">
        <v>110000</v>
      </c>
      <c r="E852" s="2">
        <v>330100</v>
      </c>
      <c r="F852" s="2">
        <v>820000</v>
      </c>
      <c r="G852" s="32">
        <v>450000</v>
      </c>
      <c r="H852" s="32">
        <v>450000</v>
      </c>
    </row>
    <row r="853" spans="1:8" s="2" customFormat="1">
      <c r="A853" s="20"/>
      <c r="C853" s="8" t="s">
        <v>2235</v>
      </c>
      <c r="D853" s="26"/>
      <c r="G853" s="32">
        <f>G852</f>
        <v>450000</v>
      </c>
      <c r="H853" s="32">
        <f>H852</f>
        <v>450000</v>
      </c>
    </row>
    <row r="854" spans="1:8" s="2" customFormat="1">
      <c r="A854" s="20"/>
      <c r="C854" s="8"/>
      <c r="D854" s="26"/>
      <c r="G854" s="32"/>
      <c r="H854" s="32"/>
    </row>
    <row r="855" spans="1:8" s="2" customFormat="1">
      <c r="A855" s="6" t="s">
        <v>469</v>
      </c>
      <c r="B855" s="2" t="s">
        <v>2453</v>
      </c>
      <c r="D855" s="26"/>
      <c r="G855" s="32"/>
      <c r="H855" s="32"/>
    </row>
    <row r="856" spans="1:8" s="2" customFormat="1">
      <c r="A856" s="6"/>
      <c r="D856" s="26"/>
      <c r="G856" s="32"/>
      <c r="H856" s="32"/>
    </row>
    <row r="857" spans="1:8" s="2" customFormat="1">
      <c r="A857" s="6"/>
      <c r="C857" s="2" t="s">
        <v>1180</v>
      </c>
      <c r="D857" s="26">
        <v>110000</v>
      </c>
      <c r="E857" s="2">
        <v>330100</v>
      </c>
      <c r="F857" s="2">
        <v>820000</v>
      </c>
      <c r="G857" s="32">
        <v>3402</v>
      </c>
      <c r="H857" s="32">
        <v>3402</v>
      </c>
    </row>
    <row r="858" spans="1:8" s="2" customFormat="1">
      <c r="A858" s="6"/>
      <c r="C858" s="8" t="s">
        <v>2235</v>
      </c>
      <c r="D858" s="26"/>
      <c r="G858" s="32">
        <v>3402</v>
      </c>
      <c r="H858" s="32">
        <v>3402</v>
      </c>
    </row>
    <row r="859" spans="1:8" s="2" customFormat="1">
      <c r="A859" s="6"/>
      <c r="D859" s="26"/>
      <c r="G859" s="32"/>
      <c r="H859" s="32"/>
    </row>
    <row r="860" spans="1:8" s="2" customFormat="1">
      <c r="A860" s="6" t="s">
        <v>468</v>
      </c>
      <c r="B860" s="9" t="s">
        <v>15</v>
      </c>
      <c r="E860" s="20"/>
      <c r="G860" s="32"/>
      <c r="H860" s="32"/>
    </row>
    <row r="861" spans="1:8" s="2" customFormat="1">
      <c r="A861" s="5"/>
      <c r="E861" s="20"/>
      <c r="G861" s="32"/>
      <c r="H861" s="32"/>
    </row>
    <row r="862" spans="1:8" s="2" customFormat="1">
      <c r="A862" s="5" t="s">
        <v>338</v>
      </c>
      <c r="B862" s="9" t="s">
        <v>16</v>
      </c>
      <c r="C862" s="9" t="s">
        <v>1594</v>
      </c>
      <c r="D862" s="2">
        <v>110000</v>
      </c>
      <c r="E862" s="20" t="s">
        <v>468</v>
      </c>
      <c r="F862" s="2">
        <v>610210</v>
      </c>
      <c r="G862" s="32">
        <f>52984+1775</f>
        <v>54759</v>
      </c>
      <c r="H862" s="32">
        <f>52984+1775</f>
        <v>54759</v>
      </c>
    </row>
    <row r="863" spans="1:8" s="2" customFormat="1">
      <c r="A863" s="5" t="s">
        <v>339</v>
      </c>
      <c r="B863" s="9" t="s">
        <v>17</v>
      </c>
      <c r="C863" s="9" t="s">
        <v>18</v>
      </c>
      <c r="D863" s="2">
        <v>110000</v>
      </c>
      <c r="E863" s="20" t="s">
        <v>468</v>
      </c>
      <c r="F863" s="2">
        <v>610410</v>
      </c>
      <c r="G863" s="32">
        <f>32247+903</f>
        <v>33150</v>
      </c>
      <c r="H863" s="32">
        <f>32247+903</f>
        <v>33150</v>
      </c>
    </row>
    <row r="864" spans="1:8" s="2" customFormat="1">
      <c r="A864" s="5" t="s">
        <v>340</v>
      </c>
      <c r="B864" s="9" t="s">
        <v>19</v>
      </c>
      <c r="C864" s="9" t="s">
        <v>1008</v>
      </c>
      <c r="D864" s="2">
        <v>110000</v>
      </c>
      <c r="E864" s="20" t="s">
        <v>468</v>
      </c>
      <c r="F864" s="2">
        <v>610210</v>
      </c>
      <c r="G864" s="32">
        <f>34007+1054</f>
        <v>35061</v>
      </c>
      <c r="H864" s="32">
        <f>34007+1054</f>
        <v>35061</v>
      </c>
    </row>
    <row r="865" spans="1:8" s="2" customFormat="1">
      <c r="A865" s="5" t="s">
        <v>341</v>
      </c>
      <c r="B865" s="2" t="s">
        <v>24</v>
      </c>
      <c r="C865" s="9" t="s">
        <v>21</v>
      </c>
      <c r="D865" s="2">
        <v>110000</v>
      </c>
      <c r="E865" s="20" t="s">
        <v>468</v>
      </c>
      <c r="F865" s="2">
        <v>610410</v>
      </c>
      <c r="G865" s="32">
        <v>23739</v>
      </c>
      <c r="H865" s="32">
        <v>23739</v>
      </c>
    </row>
    <row r="866" spans="1:8" s="2" customFormat="1">
      <c r="A866" s="5" t="s">
        <v>342</v>
      </c>
      <c r="B866" s="9" t="s">
        <v>22</v>
      </c>
      <c r="C866" s="9" t="s">
        <v>21</v>
      </c>
      <c r="D866" s="2">
        <v>110000</v>
      </c>
      <c r="E866" s="20" t="s">
        <v>468</v>
      </c>
      <c r="F866" s="2">
        <v>610410</v>
      </c>
      <c r="G866" s="32">
        <f>26395+739</f>
        <v>27134</v>
      </c>
      <c r="H866" s="32">
        <f>26395+739</f>
        <v>27134</v>
      </c>
    </row>
    <row r="867" spans="1:8" s="2" customFormat="1">
      <c r="A867" s="5" t="s">
        <v>343</v>
      </c>
      <c r="B867" s="9" t="s">
        <v>23</v>
      </c>
      <c r="C867" s="9" t="s">
        <v>21</v>
      </c>
      <c r="D867" s="2">
        <v>110000</v>
      </c>
      <c r="E867" s="20" t="s">
        <v>468</v>
      </c>
      <c r="F867" s="2">
        <v>610410</v>
      </c>
      <c r="G867" s="32">
        <f>26395+739</f>
        <v>27134</v>
      </c>
      <c r="H867" s="32">
        <f>26395+739</f>
        <v>27134</v>
      </c>
    </row>
    <row r="868" spans="1:8" s="2" customFormat="1">
      <c r="A868" s="5" t="s">
        <v>344</v>
      </c>
      <c r="B868" s="9" t="s">
        <v>295</v>
      </c>
      <c r="C868" s="9" t="s">
        <v>21</v>
      </c>
      <c r="D868" s="2">
        <v>110000</v>
      </c>
      <c r="E868" s="20" t="s">
        <v>468</v>
      </c>
      <c r="F868" s="2">
        <v>610410</v>
      </c>
      <c r="G868" s="32">
        <f>11472+321</f>
        <v>11793</v>
      </c>
      <c r="H868" s="32">
        <f>11472+321</f>
        <v>11793</v>
      </c>
    </row>
    <row r="869" spans="1:8" s="2" customFormat="1">
      <c r="A869" s="5" t="s">
        <v>345</v>
      </c>
      <c r="B869" s="9" t="s">
        <v>25</v>
      </c>
      <c r="C869" s="9" t="s">
        <v>21</v>
      </c>
      <c r="D869" s="2">
        <v>110000</v>
      </c>
      <c r="E869" s="20" t="s">
        <v>468</v>
      </c>
      <c r="F869" s="2">
        <v>610410</v>
      </c>
      <c r="G869" s="32">
        <f>23092+647</f>
        <v>23739</v>
      </c>
      <c r="H869" s="32">
        <f>23092+647</f>
        <v>23739</v>
      </c>
    </row>
    <row r="870" spans="1:8" s="2" customFormat="1">
      <c r="A870" s="5" t="s">
        <v>346</v>
      </c>
      <c r="B870" s="9" t="s">
        <v>26</v>
      </c>
      <c r="C870" s="9" t="s">
        <v>21</v>
      </c>
      <c r="D870" s="2">
        <v>110000</v>
      </c>
      <c r="E870" s="20" t="s">
        <v>468</v>
      </c>
      <c r="F870" s="2">
        <v>610410</v>
      </c>
      <c r="G870" s="32">
        <f>25247+707</f>
        <v>25954</v>
      </c>
      <c r="H870" s="32">
        <f>25247+707</f>
        <v>25954</v>
      </c>
    </row>
    <row r="871" spans="1:8" s="2" customFormat="1">
      <c r="A871" s="5" t="s">
        <v>347</v>
      </c>
      <c r="B871" s="9" t="s">
        <v>1167</v>
      </c>
      <c r="C871" s="9" t="s">
        <v>2941</v>
      </c>
      <c r="D871" s="2">
        <v>110000</v>
      </c>
      <c r="E871" s="20" t="s">
        <v>468</v>
      </c>
      <c r="F871" s="2">
        <v>610410</v>
      </c>
      <c r="G871" s="32">
        <f>17694+495</f>
        <v>18189</v>
      </c>
      <c r="H871" s="32">
        <f>17694+495</f>
        <v>18189</v>
      </c>
    </row>
    <row r="872" spans="1:8" s="2" customFormat="1">
      <c r="A872" s="5"/>
      <c r="C872" s="9" t="s">
        <v>1611</v>
      </c>
      <c r="D872" s="2">
        <v>110000</v>
      </c>
      <c r="E872" s="20" t="s">
        <v>468</v>
      </c>
      <c r="F872" s="2">
        <v>620000</v>
      </c>
      <c r="G872" s="32"/>
      <c r="H872" s="32"/>
    </row>
    <row r="873" spans="1:8" s="2" customFormat="1">
      <c r="A873" s="5"/>
      <c r="C873" s="9" t="s">
        <v>2950</v>
      </c>
      <c r="D873" s="2">
        <v>110000</v>
      </c>
      <c r="E873" s="20" t="s">
        <v>468</v>
      </c>
      <c r="F873" s="2">
        <v>610000</v>
      </c>
      <c r="G873" s="32"/>
      <c r="H873" s="32"/>
    </row>
    <row r="874" spans="1:8" s="2" customFormat="1">
      <c r="A874" s="5"/>
      <c r="C874" s="9" t="s">
        <v>2951</v>
      </c>
      <c r="D874" s="2">
        <v>110000</v>
      </c>
      <c r="E874" s="20" t="s">
        <v>468</v>
      </c>
      <c r="F874" s="2">
        <v>630000</v>
      </c>
      <c r="G874" s="32">
        <f>(SUM(G862:G873))*0.2+1439+666</f>
        <v>58235.4</v>
      </c>
      <c r="H874" s="32">
        <f>(SUM(H862:H873))*0.2+1439+666</f>
        <v>58235.4</v>
      </c>
    </row>
    <row r="875" spans="1:8" s="2" customFormat="1">
      <c r="A875" s="5"/>
      <c r="C875" s="12" t="s">
        <v>1129</v>
      </c>
      <c r="E875" s="20"/>
      <c r="G875" s="32">
        <f>SUM(G862:G874)</f>
        <v>338887.4</v>
      </c>
      <c r="H875" s="32">
        <f>SUM(H862:H874)</f>
        <v>338887.4</v>
      </c>
    </row>
    <row r="876" spans="1:8" s="2" customFormat="1">
      <c r="A876" s="5"/>
      <c r="C876" s="9" t="s">
        <v>2234</v>
      </c>
      <c r="D876" s="2">
        <v>110000</v>
      </c>
      <c r="E876" s="20" t="s">
        <v>468</v>
      </c>
      <c r="F876" s="2">
        <v>710000</v>
      </c>
      <c r="G876" s="32">
        <f>20900+79.78</f>
        <v>20979.78</v>
      </c>
      <c r="H876" s="32">
        <f>20900+79.78</f>
        <v>20979.78</v>
      </c>
    </row>
    <row r="877" spans="1:8" s="2" customFormat="1">
      <c r="A877" s="5"/>
      <c r="C877" s="12" t="s">
        <v>2235</v>
      </c>
      <c r="E877" s="20"/>
      <c r="G877" s="32">
        <f>G875+G876</f>
        <v>359867.18000000005</v>
      </c>
      <c r="H877" s="32">
        <f>H875+H876</f>
        <v>359867.18000000005</v>
      </c>
    </row>
    <row r="878" spans="1:8" s="2" customFormat="1">
      <c r="A878" s="5"/>
      <c r="E878" s="20"/>
      <c r="G878" s="32"/>
      <c r="H878" s="32"/>
    </row>
    <row r="879" spans="1:8" s="2" customFormat="1">
      <c r="A879" s="6" t="s">
        <v>468</v>
      </c>
      <c r="B879" s="9" t="s">
        <v>2161</v>
      </c>
      <c r="C879" s="9"/>
      <c r="E879" s="20"/>
      <c r="G879" s="32"/>
      <c r="H879" s="32"/>
    </row>
    <row r="880" spans="1:8" s="2" customFormat="1">
      <c r="A880" s="5"/>
      <c r="E880" s="20"/>
      <c r="G880" s="32"/>
      <c r="H880" s="32"/>
    </row>
    <row r="881" spans="1:8" s="2" customFormat="1">
      <c r="A881" s="5"/>
      <c r="C881" s="9" t="s">
        <v>2162</v>
      </c>
      <c r="D881" s="2">
        <v>110000</v>
      </c>
      <c r="E881" s="20" t="s">
        <v>468</v>
      </c>
      <c r="F881" s="2">
        <v>710000</v>
      </c>
      <c r="G881" s="32">
        <v>-121000</v>
      </c>
      <c r="H881" s="32">
        <v>-121000</v>
      </c>
    </row>
    <row r="882" spans="1:8" s="2" customFormat="1">
      <c r="A882" s="5"/>
      <c r="C882" s="9" t="s">
        <v>2163</v>
      </c>
      <c r="D882" s="2">
        <v>110000</v>
      </c>
      <c r="E882" s="20" t="s">
        <v>468</v>
      </c>
      <c r="F882" s="2">
        <v>710000</v>
      </c>
      <c r="G882" s="32">
        <v>121000</v>
      </c>
      <c r="H882" s="32">
        <v>121000</v>
      </c>
    </row>
    <row r="883" spans="1:8" s="2" customFormat="1">
      <c r="A883" s="5"/>
      <c r="C883" s="12" t="s">
        <v>2235</v>
      </c>
      <c r="E883" s="20"/>
      <c r="G883" s="32">
        <f>G881+G882</f>
        <v>0</v>
      </c>
      <c r="H883" s="32">
        <f>H881+H882</f>
        <v>0</v>
      </c>
    </row>
    <row r="884" spans="1:8" s="2" customFormat="1">
      <c r="A884" s="5"/>
      <c r="E884" s="20"/>
      <c r="G884" s="32"/>
      <c r="H884" s="32"/>
    </row>
    <row r="885" spans="1:8" s="2" customFormat="1">
      <c r="A885" s="6" t="s">
        <v>463</v>
      </c>
      <c r="B885" s="2" t="s">
        <v>2760</v>
      </c>
      <c r="E885" s="20"/>
      <c r="G885" s="32"/>
      <c r="H885" s="32"/>
    </row>
    <row r="886" spans="1:8" s="2" customFormat="1">
      <c r="A886" s="5"/>
      <c r="E886" s="20"/>
      <c r="G886" s="32"/>
      <c r="H886" s="32"/>
    </row>
    <row r="887" spans="1:8" s="2" customFormat="1">
      <c r="A887" s="5" t="s">
        <v>824</v>
      </c>
      <c r="B887" s="9" t="s">
        <v>2761</v>
      </c>
      <c r="C887" s="9" t="s">
        <v>2937</v>
      </c>
      <c r="D887" s="2">
        <v>110000</v>
      </c>
      <c r="E887" s="20">
        <v>410000</v>
      </c>
      <c r="F887" s="2">
        <v>610210</v>
      </c>
      <c r="G887" s="32">
        <f>92500+2600</f>
        <v>95100</v>
      </c>
      <c r="H887" s="32">
        <f>92500+2600</f>
        <v>95100</v>
      </c>
    </row>
    <row r="888" spans="1:8" s="2" customFormat="1">
      <c r="A888" s="5" t="s">
        <v>825</v>
      </c>
      <c r="B888" s="9" t="s">
        <v>1635</v>
      </c>
      <c r="C888" s="9" t="s">
        <v>1592</v>
      </c>
      <c r="D888" s="2">
        <v>110000</v>
      </c>
      <c r="E888" s="20">
        <v>410000</v>
      </c>
      <c r="F888" s="2">
        <v>610210</v>
      </c>
      <c r="G888" s="32">
        <f>56978+3595</f>
        <v>60573</v>
      </c>
      <c r="H888" s="32">
        <f>56978+3595</f>
        <v>60573</v>
      </c>
    </row>
    <row r="889" spans="1:8" s="2" customFormat="1">
      <c r="A889" s="5" t="s">
        <v>826</v>
      </c>
      <c r="B889" s="9" t="s">
        <v>2470</v>
      </c>
      <c r="C889" s="9" t="s">
        <v>2884</v>
      </c>
      <c r="D889" s="2">
        <v>110000</v>
      </c>
      <c r="E889" s="20">
        <v>410000</v>
      </c>
      <c r="F889" s="2">
        <v>610210</v>
      </c>
      <c r="G889" s="32">
        <f>20500+513</f>
        <v>21013</v>
      </c>
      <c r="H889" s="32">
        <f>20500+513</f>
        <v>21013</v>
      </c>
    </row>
    <row r="890" spans="1:8" s="2" customFormat="1">
      <c r="A890" s="5" t="s">
        <v>827</v>
      </c>
      <c r="C890" s="9" t="s">
        <v>1608</v>
      </c>
      <c r="D890" s="2">
        <v>110000</v>
      </c>
      <c r="E890" s="20">
        <v>410000</v>
      </c>
      <c r="F890" s="2">
        <v>610210</v>
      </c>
      <c r="G890" s="32">
        <v>25000</v>
      </c>
      <c r="H890" s="32">
        <v>25000</v>
      </c>
    </row>
    <row r="891" spans="1:8" s="2" customFormat="1">
      <c r="A891" s="6" t="s">
        <v>828</v>
      </c>
      <c r="B891" s="9" t="s">
        <v>1636</v>
      </c>
      <c r="C891" s="9" t="s">
        <v>1593</v>
      </c>
      <c r="D891" s="2">
        <v>110000</v>
      </c>
      <c r="E891" s="20">
        <v>410000</v>
      </c>
      <c r="F891" s="2">
        <v>610210</v>
      </c>
      <c r="G891" s="32">
        <f>10454+262</f>
        <v>10716</v>
      </c>
      <c r="H891" s="32">
        <f>10454+262</f>
        <v>10716</v>
      </c>
    </row>
    <row r="892" spans="1:8" s="2" customFormat="1">
      <c r="A892" s="5"/>
      <c r="D892" s="2">
        <v>190000</v>
      </c>
      <c r="E892" s="20" t="s">
        <v>3027</v>
      </c>
      <c r="F892" s="2">
        <v>610210</v>
      </c>
      <c r="G892" s="32">
        <f>31302+3688</f>
        <v>34990</v>
      </c>
      <c r="H892" s="32"/>
    </row>
    <row r="893" spans="1:8" s="2" customFormat="1">
      <c r="A893" s="5"/>
      <c r="E893" s="9" t="s">
        <v>2880</v>
      </c>
      <c r="G893" s="32">
        <f>G891+G892</f>
        <v>45706</v>
      </c>
      <c r="H893" s="32">
        <f>H891+H892</f>
        <v>10716</v>
      </c>
    </row>
    <row r="894" spans="1:8" s="2" customFormat="1">
      <c r="A894" s="5" t="s">
        <v>829</v>
      </c>
      <c r="B894" s="2" t="s">
        <v>1637</v>
      </c>
      <c r="C894" s="2" t="s">
        <v>1609</v>
      </c>
      <c r="D894" s="2">
        <v>110000</v>
      </c>
      <c r="E894" s="20">
        <v>410000</v>
      </c>
      <c r="F894" s="2">
        <v>610410</v>
      </c>
      <c r="G894" s="32">
        <f>1612+45</f>
        <v>1657</v>
      </c>
      <c r="H894" s="32">
        <f>1612+45</f>
        <v>1657</v>
      </c>
    </row>
    <row r="895" spans="1:8" s="2" customFormat="1">
      <c r="A895" s="5"/>
      <c r="D895" s="2">
        <v>193000</v>
      </c>
      <c r="E895" s="20" t="s">
        <v>3028</v>
      </c>
      <c r="F895" s="2">
        <v>610410</v>
      </c>
      <c r="G895" s="32">
        <f>14186+397</f>
        <v>14583</v>
      </c>
      <c r="H895" s="32"/>
    </row>
    <row r="896" spans="1:8" s="2" customFormat="1">
      <c r="A896" s="5"/>
      <c r="E896" s="9" t="s">
        <v>2880</v>
      </c>
      <c r="G896" s="32">
        <f>G894+G895</f>
        <v>16240</v>
      </c>
      <c r="H896" s="32">
        <f>H894+H895</f>
        <v>1657</v>
      </c>
    </row>
    <row r="897" spans="1:8" s="2" customFormat="1">
      <c r="A897" s="5"/>
      <c r="C897" s="9" t="s">
        <v>2950</v>
      </c>
      <c r="D897" s="2">
        <v>110000</v>
      </c>
      <c r="E897" s="20">
        <v>410000</v>
      </c>
      <c r="F897" s="2">
        <v>610000</v>
      </c>
      <c r="G897" s="36"/>
      <c r="H897" s="36"/>
    </row>
    <row r="898" spans="1:8" s="2" customFormat="1">
      <c r="A898" s="5"/>
      <c r="C898" s="9" t="s">
        <v>2951</v>
      </c>
      <c r="D898" s="2">
        <v>110000</v>
      </c>
      <c r="E898" s="20">
        <v>410000</v>
      </c>
      <c r="F898" s="2">
        <v>630000</v>
      </c>
      <c r="G898" s="32">
        <f>(SUM(G887:G897)-G893-G896)*0.19</f>
        <v>50090.080000000002</v>
      </c>
      <c r="H898" s="32">
        <f>(SUM(H887:H897)-H893-H896)*0.19</f>
        <v>40671.21</v>
      </c>
    </row>
    <row r="899" spans="1:8" s="2" customFormat="1">
      <c r="A899" s="5"/>
      <c r="C899" s="12" t="s">
        <v>1129</v>
      </c>
      <c r="E899" s="20"/>
      <c r="G899" s="32">
        <f>SUM(G887:G898)-G893-G896</f>
        <v>313722.08</v>
      </c>
      <c r="H899" s="32">
        <f>SUM(H887:H898)-H893-H896</f>
        <v>254730.21000000002</v>
      </c>
    </row>
    <row r="900" spans="1:8" s="2" customFormat="1">
      <c r="A900" s="5"/>
      <c r="C900" s="9" t="s">
        <v>2234</v>
      </c>
      <c r="D900" s="2">
        <v>110000</v>
      </c>
      <c r="E900" s="20">
        <v>410000</v>
      </c>
      <c r="F900" s="2">
        <v>710000</v>
      </c>
      <c r="G900" s="32">
        <v>63706</v>
      </c>
      <c r="H900" s="32">
        <v>63706</v>
      </c>
    </row>
    <row r="901" spans="1:8" s="2" customFormat="1">
      <c r="A901" s="5"/>
      <c r="C901" s="9" t="s">
        <v>2759</v>
      </c>
      <c r="E901" s="20"/>
      <c r="G901" s="32">
        <v>14000</v>
      </c>
      <c r="H901" s="32">
        <v>14000</v>
      </c>
    </row>
    <row r="902" spans="1:8" s="2" customFormat="1">
      <c r="A902" s="5"/>
      <c r="C902" s="12" t="s">
        <v>2235</v>
      </c>
      <c r="E902" s="20"/>
      <c r="G902" s="32">
        <f>G899+G900+G901</f>
        <v>391428.08</v>
      </c>
      <c r="H902" s="32">
        <f>H899+H900+H901</f>
        <v>332436.21000000002</v>
      </c>
    </row>
    <row r="903" spans="1:8" s="2" customFormat="1">
      <c r="A903" s="5"/>
      <c r="E903" s="20"/>
      <c r="G903" s="32"/>
      <c r="H903" s="32"/>
    </row>
    <row r="904" spans="1:8" s="2" customFormat="1">
      <c r="A904" s="6" t="s">
        <v>2560</v>
      </c>
      <c r="B904" s="2" t="s">
        <v>96</v>
      </c>
      <c r="D904" s="26"/>
      <c r="G904" s="32"/>
      <c r="H904" s="32"/>
    </row>
    <row r="905" spans="1:8" s="2" customFormat="1">
      <c r="D905" s="26"/>
      <c r="G905" s="32"/>
      <c r="H905" s="32"/>
    </row>
    <row r="906" spans="1:8" s="2" customFormat="1">
      <c r="A906" s="5" t="s">
        <v>1927</v>
      </c>
      <c r="B906" s="2" t="s">
        <v>97</v>
      </c>
      <c r="C906" s="2" t="s">
        <v>1016</v>
      </c>
      <c r="D906" s="26">
        <v>110000</v>
      </c>
      <c r="E906" s="2">
        <v>430000</v>
      </c>
      <c r="F906" s="2">
        <v>610210</v>
      </c>
      <c r="G906" s="32">
        <f>45640+1142</f>
        <v>46782</v>
      </c>
      <c r="H906" s="32">
        <f>45640+1142</f>
        <v>46782</v>
      </c>
    </row>
    <row r="907" spans="1:8" s="2" customFormat="1">
      <c r="D907" s="26">
        <v>281099</v>
      </c>
      <c r="E907" s="2">
        <v>430000</v>
      </c>
      <c r="F907" s="2">
        <v>610210</v>
      </c>
      <c r="G907" s="32">
        <f>10000+300</f>
        <v>10300</v>
      </c>
      <c r="H907" s="32"/>
    </row>
    <row r="908" spans="1:8" s="2" customFormat="1">
      <c r="D908" s="26"/>
      <c r="E908" s="2" t="s">
        <v>2880</v>
      </c>
      <c r="G908" s="32">
        <f>G906+G907</f>
        <v>57082</v>
      </c>
      <c r="H908" s="32">
        <f>H906+H907</f>
        <v>46782</v>
      </c>
    </row>
    <row r="909" spans="1:8" s="2" customFormat="1">
      <c r="A909" s="5" t="s">
        <v>935</v>
      </c>
      <c r="B909" s="2" t="s">
        <v>3199</v>
      </c>
      <c r="C909" s="2" t="s">
        <v>1608</v>
      </c>
      <c r="D909" s="26">
        <v>281099</v>
      </c>
      <c r="E909" s="2">
        <v>430000</v>
      </c>
      <c r="F909" s="2">
        <v>610210</v>
      </c>
      <c r="G909" s="32">
        <v>25750</v>
      </c>
      <c r="H909" s="32"/>
    </row>
    <row r="910" spans="1:8" s="2" customFormat="1">
      <c r="A910" s="5" t="s">
        <v>936</v>
      </c>
      <c r="B910" s="2" t="s">
        <v>3200</v>
      </c>
      <c r="C910" s="2" t="s">
        <v>2884</v>
      </c>
      <c r="D910" s="26">
        <v>281099</v>
      </c>
      <c r="E910" s="2">
        <v>430000</v>
      </c>
      <c r="F910" s="2">
        <v>610210</v>
      </c>
      <c r="G910" s="32">
        <v>24000</v>
      </c>
      <c r="H910" s="32"/>
    </row>
    <row r="911" spans="1:8" s="2" customFormat="1">
      <c r="A911" s="5" t="s">
        <v>937</v>
      </c>
      <c r="C911" s="2" t="s">
        <v>2211</v>
      </c>
      <c r="D911" s="26">
        <v>110000</v>
      </c>
      <c r="E911" s="2">
        <v>430000</v>
      </c>
      <c r="F911" s="2">
        <v>610410</v>
      </c>
      <c r="G911" s="32">
        <f>16616</f>
        <v>16616</v>
      </c>
      <c r="H911" s="32">
        <f>16616</f>
        <v>16616</v>
      </c>
    </row>
    <row r="912" spans="1:8" s="2" customFormat="1">
      <c r="A912" s="5" t="s">
        <v>938</v>
      </c>
      <c r="B912" s="2" t="s">
        <v>3201</v>
      </c>
      <c r="C912" s="2" t="s">
        <v>1608</v>
      </c>
      <c r="D912" s="26">
        <v>281099</v>
      </c>
      <c r="E912" s="2">
        <v>430000</v>
      </c>
      <c r="F912" s="2">
        <v>610210</v>
      </c>
      <c r="G912" s="32">
        <v>25750</v>
      </c>
      <c r="H912" s="32"/>
    </row>
    <row r="913" spans="1:8" s="2" customFormat="1">
      <c r="A913" s="5" t="s">
        <v>1928</v>
      </c>
      <c r="B913" s="2" t="s">
        <v>98</v>
      </c>
      <c r="C913" s="2" t="s">
        <v>1608</v>
      </c>
      <c r="D913" s="26">
        <v>281099</v>
      </c>
      <c r="E913" s="2">
        <v>430000</v>
      </c>
      <c r="F913" s="2">
        <v>610210</v>
      </c>
      <c r="G913" s="32">
        <v>25750</v>
      </c>
      <c r="H913" s="32"/>
    </row>
    <row r="914" spans="1:8" s="2" customFormat="1">
      <c r="A914" s="5" t="s">
        <v>99</v>
      </c>
      <c r="C914" s="2" t="s">
        <v>2748</v>
      </c>
      <c r="D914" s="26">
        <v>110000</v>
      </c>
      <c r="E914" s="2">
        <v>430000</v>
      </c>
      <c r="F914" s="2">
        <v>610510</v>
      </c>
      <c r="G914" s="32"/>
      <c r="H914" s="32"/>
    </row>
    <row r="915" spans="1:8" s="2" customFormat="1">
      <c r="A915" s="5" t="s">
        <v>1034</v>
      </c>
      <c r="C915" s="2" t="s">
        <v>2950</v>
      </c>
      <c r="D915" s="26">
        <v>110000</v>
      </c>
      <c r="E915" s="2">
        <v>430000</v>
      </c>
      <c r="F915" s="2">
        <v>610000</v>
      </c>
      <c r="G915" s="32"/>
      <c r="H915" s="32"/>
    </row>
    <row r="916" spans="1:8" s="2" customFormat="1">
      <c r="C916" s="2" t="s">
        <v>2951</v>
      </c>
      <c r="D916" s="26">
        <v>110000</v>
      </c>
      <c r="E916" s="2">
        <v>430000</v>
      </c>
      <c r="F916" s="2">
        <v>630000</v>
      </c>
      <c r="G916" s="32">
        <f>(SUM(G906:G915)-G908)*0.18</f>
        <v>31490.639999999999</v>
      </c>
      <c r="H916" s="32">
        <f>(SUM(H906:H915)-H908)*0.18</f>
        <v>11411.64</v>
      </c>
    </row>
    <row r="917" spans="1:8" s="2" customFormat="1">
      <c r="C917" s="8" t="s">
        <v>1129</v>
      </c>
      <c r="D917" s="26"/>
      <c r="G917" s="32">
        <f>SUM(G906:G916)-G908</f>
        <v>206438.64</v>
      </c>
      <c r="H917" s="32">
        <f>SUM(H906:H916)-H908</f>
        <v>74809.64</v>
      </c>
    </row>
    <row r="918" spans="1:8" s="2" customFormat="1">
      <c r="C918" s="2" t="s">
        <v>2234</v>
      </c>
      <c r="D918" s="26">
        <v>110000</v>
      </c>
      <c r="E918" s="2">
        <v>430000</v>
      </c>
      <c r="F918" s="2">
        <v>710000</v>
      </c>
      <c r="G918" s="32">
        <f>H918</f>
        <v>30190.36</v>
      </c>
      <c r="H918" s="32">
        <f>H919-H917</f>
        <v>30190.36</v>
      </c>
    </row>
    <row r="919" spans="1:8" s="2" customFormat="1">
      <c r="C919" s="8" t="s">
        <v>2235</v>
      </c>
      <c r="D919" s="26"/>
      <c r="G919" s="32">
        <f>G917+G918</f>
        <v>236629</v>
      </c>
      <c r="H919" s="32">
        <f>80000+25000</f>
        <v>105000</v>
      </c>
    </row>
    <row r="920" spans="1:8" s="2" customFormat="1">
      <c r="D920" s="26"/>
      <c r="G920" s="32"/>
      <c r="H920" s="32"/>
    </row>
    <row r="921" spans="1:8" s="2" customFormat="1">
      <c r="A921" s="6" t="s">
        <v>476</v>
      </c>
      <c r="B921" s="9" t="s">
        <v>1458</v>
      </c>
      <c r="E921" s="20"/>
      <c r="G921" s="32"/>
      <c r="H921" s="32"/>
    </row>
    <row r="922" spans="1:8" s="2" customFormat="1">
      <c r="A922" s="5"/>
      <c r="E922" s="20"/>
      <c r="G922" s="32"/>
      <c r="H922" s="32"/>
    </row>
    <row r="923" spans="1:8" s="2" customFormat="1">
      <c r="A923" s="5" t="s">
        <v>439</v>
      </c>
      <c r="B923" s="9" t="s">
        <v>524</v>
      </c>
      <c r="C923" s="9" t="s">
        <v>525</v>
      </c>
      <c r="D923" s="2">
        <v>110000</v>
      </c>
      <c r="E923" s="20" t="s">
        <v>476</v>
      </c>
      <c r="F923" s="2">
        <v>610210</v>
      </c>
      <c r="G923" s="32">
        <f>67673+1693</f>
        <v>69366</v>
      </c>
      <c r="H923" s="32">
        <f>67673+1693</f>
        <v>69366</v>
      </c>
    </row>
    <row r="924" spans="1:8" s="2" customFormat="1">
      <c r="A924" s="5" t="s">
        <v>440</v>
      </c>
      <c r="B924" s="9" t="s">
        <v>2871</v>
      </c>
      <c r="C924" s="9" t="s">
        <v>2170</v>
      </c>
      <c r="D924" s="2">
        <v>110000</v>
      </c>
      <c r="E924" s="20" t="s">
        <v>476</v>
      </c>
      <c r="F924" s="2">
        <v>610210</v>
      </c>
      <c r="G924" s="32">
        <f>32500+650</f>
        <v>33150</v>
      </c>
      <c r="H924" s="32">
        <f>32500+650</f>
        <v>33150</v>
      </c>
    </row>
    <row r="925" spans="1:8" s="2" customFormat="1">
      <c r="A925" s="5" t="s">
        <v>441</v>
      </c>
      <c r="B925" s="9" t="s">
        <v>2953</v>
      </c>
      <c r="C925" s="9" t="s">
        <v>1375</v>
      </c>
      <c r="D925" s="2">
        <v>110000</v>
      </c>
      <c r="E925" s="20" t="s">
        <v>476</v>
      </c>
      <c r="F925" s="2">
        <v>610210</v>
      </c>
      <c r="G925" s="32">
        <v>50000</v>
      </c>
      <c r="H925" s="32">
        <v>50000</v>
      </c>
    </row>
    <row r="926" spans="1:8" s="2" customFormat="1">
      <c r="A926" s="5" t="s">
        <v>442</v>
      </c>
      <c r="B926" s="9" t="s">
        <v>526</v>
      </c>
      <c r="C926" s="9" t="s">
        <v>2170</v>
      </c>
      <c r="D926" s="2">
        <v>110000</v>
      </c>
      <c r="E926" s="20" t="s">
        <v>476</v>
      </c>
      <c r="F926" s="2">
        <v>610210</v>
      </c>
      <c r="G926" s="32">
        <f>33990+1136</f>
        <v>35126</v>
      </c>
      <c r="H926" s="32">
        <f>33990+1136</f>
        <v>35126</v>
      </c>
    </row>
    <row r="927" spans="1:8" s="2" customFormat="1">
      <c r="A927" s="5" t="s">
        <v>443</v>
      </c>
      <c r="B927" s="9" t="s">
        <v>527</v>
      </c>
      <c r="C927" s="9" t="s">
        <v>1608</v>
      </c>
      <c r="D927" s="2">
        <v>110000</v>
      </c>
      <c r="E927" s="20" t="s">
        <v>476</v>
      </c>
      <c r="F927" s="2">
        <v>610210</v>
      </c>
      <c r="G927" s="32">
        <f>25000+500</f>
        <v>25500</v>
      </c>
      <c r="H927" s="32">
        <f>25000+500</f>
        <v>25500</v>
      </c>
    </row>
    <row r="928" spans="1:8" s="2" customFormat="1">
      <c r="A928" s="6" t="s">
        <v>1069</v>
      </c>
      <c r="B928" s="9" t="s">
        <v>2952</v>
      </c>
      <c r="C928" s="9" t="s">
        <v>2877</v>
      </c>
      <c r="D928" s="2">
        <v>110000</v>
      </c>
      <c r="E928" s="20" t="s">
        <v>476</v>
      </c>
      <c r="F928" s="2">
        <v>610410</v>
      </c>
      <c r="G928" s="32">
        <f>25675+719</f>
        <v>26394</v>
      </c>
      <c r="H928" s="32">
        <f>25675+719</f>
        <v>26394</v>
      </c>
    </row>
    <row r="929" spans="1:8" s="2" customFormat="1">
      <c r="A929" s="5" t="s">
        <v>1070</v>
      </c>
      <c r="B929" s="9" t="s">
        <v>2954</v>
      </c>
      <c r="C929" s="9" t="s">
        <v>1613</v>
      </c>
      <c r="D929" s="2">
        <v>110000</v>
      </c>
      <c r="E929" s="20" t="s">
        <v>476</v>
      </c>
      <c r="F929" s="2">
        <v>610410</v>
      </c>
      <c r="G929" s="32">
        <f>31925+894</f>
        <v>32819</v>
      </c>
      <c r="H929" s="32">
        <f>31925+894</f>
        <v>32819</v>
      </c>
    </row>
    <row r="930" spans="1:8" s="2" customFormat="1">
      <c r="A930" s="5"/>
      <c r="C930" s="9" t="s">
        <v>2951</v>
      </c>
      <c r="D930" s="2">
        <v>110000</v>
      </c>
      <c r="E930" s="20" t="s">
        <v>476</v>
      </c>
      <c r="F930" s="2">
        <v>630000</v>
      </c>
      <c r="G930" s="32">
        <f>SUM(G923:G929)*0.2+588</f>
        <v>55059</v>
      </c>
      <c r="H930" s="32">
        <f>SUM(H923:H929)*0.2+588</f>
        <v>55059</v>
      </c>
    </row>
    <row r="931" spans="1:8" s="2" customFormat="1">
      <c r="A931" s="5"/>
      <c r="C931" s="12" t="s">
        <v>1129</v>
      </c>
      <c r="E931" s="20"/>
      <c r="G931" s="32">
        <f>SUM(G923:G930)</f>
        <v>327414</v>
      </c>
      <c r="H931" s="32">
        <f>SUM(H923:H930)</f>
        <v>327414</v>
      </c>
    </row>
    <row r="932" spans="1:8" s="2" customFormat="1">
      <c r="A932" s="5"/>
      <c r="C932" s="9" t="s">
        <v>2234</v>
      </c>
      <c r="D932" s="2">
        <v>110000</v>
      </c>
      <c r="E932" s="20" t="s">
        <v>476</v>
      </c>
      <c r="F932" s="2">
        <v>710000</v>
      </c>
      <c r="G932" s="32">
        <f>53925+201.36</f>
        <v>54126.36</v>
      </c>
      <c r="H932" s="32">
        <f>53925+201.36</f>
        <v>54126.36</v>
      </c>
    </row>
    <row r="933" spans="1:8" s="2" customFormat="1">
      <c r="A933" s="5"/>
      <c r="C933" s="12" t="s">
        <v>2235</v>
      </c>
      <c r="E933" s="20"/>
      <c r="G933" s="32">
        <f>G931+G932</f>
        <v>381540.36</v>
      </c>
      <c r="H933" s="32">
        <f>H931+H932</f>
        <v>381540.36</v>
      </c>
    </row>
    <row r="934" spans="1:8" s="2" customFormat="1">
      <c r="A934" s="5"/>
      <c r="C934" s="12"/>
      <c r="E934" s="20"/>
      <c r="G934" s="32"/>
      <c r="H934" s="32"/>
    </row>
    <row r="935" spans="1:8" s="2" customFormat="1">
      <c r="A935" s="6" t="s">
        <v>475</v>
      </c>
      <c r="B935" s="9" t="s">
        <v>1454</v>
      </c>
      <c r="E935" s="20"/>
      <c r="G935" s="32"/>
      <c r="H935" s="32"/>
    </row>
    <row r="936" spans="1:8" s="2" customFormat="1">
      <c r="A936" s="5"/>
      <c r="E936" s="20"/>
      <c r="G936" s="32"/>
      <c r="H936" s="32"/>
    </row>
    <row r="937" spans="1:8" s="2" customFormat="1">
      <c r="A937" s="5" t="s">
        <v>437</v>
      </c>
      <c r="B937" s="2" t="s">
        <v>1455</v>
      </c>
      <c r="C937" s="9" t="s">
        <v>1456</v>
      </c>
      <c r="D937" s="2">
        <v>110000</v>
      </c>
      <c r="E937" s="20" t="s">
        <v>475</v>
      </c>
      <c r="F937" s="2">
        <v>610410</v>
      </c>
      <c r="G937" s="32">
        <f>38600+1081</f>
        <v>39681</v>
      </c>
      <c r="H937" s="32">
        <f>38600+1081</f>
        <v>39681</v>
      </c>
    </row>
    <row r="938" spans="1:8" s="2" customFormat="1">
      <c r="A938" s="5" t="s">
        <v>438</v>
      </c>
      <c r="B938" s="2" t="s">
        <v>1457</v>
      </c>
      <c r="C938" s="9" t="s">
        <v>1023</v>
      </c>
      <c r="D938" s="2">
        <v>110000</v>
      </c>
      <c r="E938" s="20" t="s">
        <v>475</v>
      </c>
      <c r="F938" s="2">
        <v>610410</v>
      </c>
      <c r="G938" s="32">
        <f>18301+512</f>
        <v>18813</v>
      </c>
      <c r="H938" s="32">
        <f>18301+512</f>
        <v>18813</v>
      </c>
    </row>
    <row r="939" spans="1:8" s="2" customFormat="1">
      <c r="A939" s="5"/>
      <c r="C939" s="9" t="s">
        <v>1611</v>
      </c>
      <c r="D939" s="2">
        <v>110000</v>
      </c>
      <c r="E939" s="20" t="s">
        <v>475</v>
      </c>
      <c r="F939" s="2">
        <v>620000</v>
      </c>
      <c r="G939" s="32"/>
      <c r="H939" s="32"/>
    </row>
    <row r="940" spans="1:8" s="2" customFormat="1">
      <c r="A940" s="5"/>
      <c r="C940" s="9" t="s">
        <v>2950</v>
      </c>
      <c r="D940" s="2">
        <v>110000</v>
      </c>
      <c r="E940" s="20" t="s">
        <v>475</v>
      </c>
      <c r="F940" s="2">
        <v>610000</v>
      </c>
      <c r="G940" s="32"/>
      <c r="H940" s="32"/>
    </row>
    <row r="941" spans="1:8" s="2" customFormat="1">
      <c r="A941" s="5"/>
      <c r="C941" s="9" t="s">
        <v>2951</v>
      </c>
      <c r="D941" s="2">
        <v>110000</v>
      </c>
      <c r="E941" s="20" t="s">
        <v>475</v>
      </c>
      <c r="F941" s="2">
        <v>630000</v>
      </c>
      <c r="G941" s="32">
        <f>SUM(G937:G940)*0.2</f>
        <v>11698.800000000001</v>
      </c>
      <c r="H941" s="32">
        <f>SUM(H937:H940)*0.2</f>
        <v>11698.800000000001</v>
      </c>
    </row>
    <row r="942" spans="1:8" s="2" customFormat="1">
      <c r="A942" s="5"/>
      <c r="C942" s="12" t="s">
        <v>1129</v>
      </c>
      <c r="E942" s="20"/>
      <c r="G942" s="32">
        <f>SUM(G937:G941)</f>
        <v>70192.800000000003</v>
      </c>
      <c r="H942" s="32">
        <f>SUM(H937:H941)</f>
        <v>70192.800000000003</v>
      </c>
    </row>
    <row r="943" spans="1:8" s="2" customFormat="1">
      <c r="A943" s="5"/>
      <c r="C943" s="9" t="s">
        <v>2234</v>
      </c>
      <c r="D943" s="2">
        <v>110000</v>
      </c>
      <c r="E943" s="20" t="s">
        <v>475</v>
      </c>
      <c r="F943" s="2">
        <v>710000</v>
      </c>
      <c r="G943" s="32">
        <f>28000+201.72</f>
        <v>28201.72</v>
      </c>
      <c r="H943" s="32">
        <f>28000+201.72</f>
        <v>28201.72</v>
      </c>
    </row>
    <row r="944" spans="1:8" s="2" customFormat="1">
      <c r="A944" s="5"/>
      <c r="C944" s="12" t="s">
        <v>2235</v>
      </c>
      <c r="E944" s="20"/>
      <c r="G944" s="32">
        <f>G943+G942</f>
        <v>98394.52</v>
      </c>
      <c r="H944" s="32">
        <f>H943+H942</f>
        <v>98394.52</v>
      </c>
    </row>
    <row r="945" spans="1:8" s="2" customFormat="1">
      <c r="A945" s="5"/>
      <c r="E945" s="20"/>
      <c r="G945" s="32"/>
      <c r="H945" s="32"/>
    </row>
    <row r="946" spans="1:8" s="2" customFormat="1">
      <c r="A946" s="6" t="s">
        <v>2222</v>
      </c>
      <c r="B946" s="9" t="s">
        <v>1444</v>
      </c>
      <c r="E946" s="20"/>
      <c r="G946" s="32"/>
      <c r="H946" s="32"/>
    </row>
    <row r="947" spans="1:8" s="2" customFormat="1">
      <c r="A947" s="5"/>
      <c r="E947" s="20"/>
      <c r="G947" s="32"/>
      <c r="H947" s="32"/>
    </row>
    <row r="948" spans="1:8" s="2" customFormat="1">
      <c r="A948" s="5" t="s">
        <v>429</v>
      </c>
      <c r="B948" s="9"/>
      <c r="C948" s="9" t="s">
        <v>2796</v>
      </c>
      <c r="D948" s="2">
        <v>110000</v>
      </c>
      <c r="E948" s="20" t="s">
        <v>2222</v>
      </c>
      <c r="F948" s="2">
        <v>610210</v>
      </c>
      <c r="G948" s="32">
        <v>81075</v>
      </c>
      <c r="H948" s="32">
        <v>81075</v>
      </c>
    </row>
    <row r="949" spans="1:8" s="2" customFormat="1">
      <c r="A949" s="6" t="s">
        <v>430</v>
      </c>
      <c r="B949" s="9" t="s">
        <v>2425</v>
      </c>
      <c r="C949" s="9" t="s">
        <v>2884</v>
      </c>
      <c r="D949" s="2">
        <v>110000</v>
      </c>
      <c r="E949" s="20" t="s">
        <v>2222</v>
      </c>
      <c r="F949" s="2">
        <v>610210</v>
      </c>
      <c r="G949" s="32">
        <f>40763+917</f>
        <v>41680</v>
      </c>
      <c r="H949" s="32">
        <f>40763+917</f>
        <v>41680</v>
      </c>
    </row>
    <row r="950" spans="1:8" s="2" customFormat="1">
      <c r="A950" s="6" t="s">
        <v>431</v>
      </c>
      <c r="B950" s="9" t="s">
        <v>2426</v>
      </c>
      <c r="C950" s="9" t="s">
        <v>1456</v>
      </c>
      <c r="D950" s="2">
        <v>110000</v>
      </c>
      <c r="E950" s="20" t="s">
        <v>2222</v>
      </c>
      <c r="F950" s="2">
        <v>610410</v>
      </c>
      <c r="G950" s="32">
        <f>24567+688</f>
        <v>25255</v>
      </c>
      <c r="H950" s="32">
        <f>24567+688</f>
        <v>25255</v>
      </c>
    </row>
    <row r="951" spans="1:8" s="2" customFormat="1">
      <c r="A951" s="5" t="s">
        <v>432</v>
      </c>
      <c r="B951" s="9" t="s">
        <v>2870</v>
      </c>
      <c r="C951" s="9" t="s">
        <v>1016</v>
      </c>
      <c r="D951" s="2">
        <v>110000</v>
      </c>
      <c r="E951" s="20" t="s">
        <v>2222</v>
      </c>
      <c r="F951" s="2">
        <v>610210</v>
      </c>
      <c r="G951" s="32">
        <f>32533+732</f>
        <v>33265</v>
      </c>
      <c r="H951" s="32">
        <f>32533+732</f>
        <v>33265</v>
      </c>
    </row>
    <row r="952" spans="1:8" s="2" customFormat="1">
      <c r="A952" s="5" t="s">
        <v>433</v>
      </c>
      <c r="B952" s="2" t="s">
        <v>2427</v>
      </c>
      <c r="C952" s="9" t="s">
        <v>1015</v>
      </c>
      <c r="D952" s="2">
        <v>110000</v>
      </c>
      <c r="E952" s="20" t="s">
        <v>2222</v>
      </c>
      <c r="F952" s="2">
        <v>610210</v>
      </c>
      <c r="G952" s="32">
        <f>41326+1351</f>
        <v>42677</v>
      </c>
      <c r="H952" s="32">
        <f>41326+1351</f>
        <v>42677</v>
      </c>
    </row>
    <row r="953" spans="1:8" s="2" customFormat="1">
      <c r="A953" s="5" t="s">
        <v>434</v>
      </c>
      <c r="B953" s="9" t="s">
        <v>2428</v>
      </c>
      <c r="C953" s="9" t="s">
        <v>1608</v>
      </c>
      <c r="D953" s="2">
        <v>110000</v>
      </c>
      <c r="E953" s="20" t="s">
        <v>2222</v>
      </c>
      <c r="F953" s="2">
        <v>610210</v>
      </c>
      <c r="G953" s="32">
        <f>26919+538</f>
        <v>27457</v>
      </c>
      <c r="H953" s="32">
        <f>26919+538</f>
        <v>27457</v>
      </c>
    </row>
    <row r="954" spans="1:8" s="2" customFormat="1">
      <c r="A954" s="5" t="s">
        <v>435</v>
      </c>
      <c r="B954" s="9"/>
      <c r="C954" s="9" t="s">
        <v>1451</v>
      </c>
      <c r="D954" s="2">
        <v>110000</v>
      </c>
      <c r="E954" s="20" t="s">
        <v>2222</v>
      </c>
      <c r="F954" s="2">
        <v>610410</v>
      </c>
      <c r="G954" s="32">
        <v>21950</v>
      </c>
      <c r="H954" s="32">
        <v>21950</v>
      </c>
    </row>
    <row r="955" spans="1:8" s="2" customFormat="1">
      <c r="A955" s="5" t="s">
        <v>436</v>
      </c>
      <c r="B955" s="9" t="s">
        <v>1452</v>
      </c>
      <c r="C955" s="9" t="s">
        <v>1017</v>
      </c>
      <c r="D955" s="2">
        <v>110000</v>
      </c>
      <c r="E955" s="20" t="s">
        <v>2222</v>
      </c>
      <c r="F955" s="2">
        <v>610410</v>
      </c>
      <c r="G955" s="32">
        <f>29355+822</f>
        <v>30177</v>
      </c>
      <c r="H955" s="32">
        <f>29355+822</f>
        <v>30177</v>
      </c>
    </row>
    <row r="956" spans="1:8" s="2" customFormat="1">
      <c r="A956" s="5"/>
      <c r="C956" s="9" t="s">
        <v>1611</v>
      </c>
      <c r="D956" s="2">
        <v>110000</v>
      </c>
      <c r="E956" s="20" t="s">
        <v>2222</v>
      </c>
      <c r="F956" s="2">
        <v>620000</v>
      </c>
      <c r="G956" s="32">
        <v>7547</v>
      </c>
      <c r="H956" s="32">
        <v>7547</v>
      </c>
    </row>
    <row r="957" spans="1:8" s="2" customFormat="1">
      <c r="A957" s="5"/>
      <c r="C957" s="9" t="s">
        <v>2950</v>
      </c>
      <c r="D957" s="2">
        <v>110000</v>
      </c>
      <c r="E957" s="20" t="s">
        <v>2222</v>
      </c>
      <c r="F957" s="2">
        <v>610000</v>
      </c>
      <c r="G957" s="32"/>
      <c r="H957" s="32"/>
    </row>
    <row r="958" spans="1:8" s="2" customFormat="1">
      <c r="A958" s="5"/>
      <c r="B958" s="9"/>
      <c r="C958" s="9" t="s">
        <v>2951</v>
      </c>
      <c r="D958" s="2">
        <v>110000</v>
      </c>
      <c r="E958" s="20" t="s">
        <v>2222</v>
      </c>
      <c r="F958" s="2">
        <v>630000</v>
      </c>
      <c r="G958" s="32">
        <f>SUM(G948:G957)*0.2-618</f>
        <v>61598.600000000006</v>
      </c>
      <c r="H958" s="32">
        <f>SUM(H948:H957)*0.2-618</f>
        <v>61598.600000000006</v>
      </c>
    </row>
    <row r="959" spans="1:8" s="2" customFormat="1">
      <c r="A959" s="5"/>
      <c r="C959" s="12" t="s">
        <v>1129</v>
      </c>
      <c r="E959" s="20"/>
      <c r="G959" s="32">
        <f>SUM(G948:G958)</f>
        <v>372681.6</v>
      </c>
      <c r="H959" s="32">
        <f>SUM(H948:H958)</f>
        <v>372681.6</v>
      </c>
    </row>
    <row r="960" spans="1:8" s="2" customFormat="1">
      <c r="A960" s="5"/>
      <c r="B960" s="9"/>
      <c r="C960" s="9" t="s">
        <v>2234</v>
      </c>
      <c r="D960" s="2">
        <v>110000</v>
      </c>
      <c r="E960" s="20" t="s">
        <v>2222</v>
      </c>
      <c r="F960" s="2">
        <v>710000</v>
      </c>
      <c r="G960" s="32">
        <v>94013</v>
      </c>
      <c r="H960" s="32">
        <v>94013</v>
      </c>
    </row>
    <row r="961" spans="1:8" s="2" customFormat="1">
      <c r="A961" s="5"/>
      <c r="C961" s="12" t="s">
        <v>2235</v>
      </c>
      <c r="E961" s="20"/>
      <c r="G961" s="32">
        <f>G959+G960</f>
        <v>466694.6</v>
      </c>
      <c r="H961" s="32">
        <f>H959+H960</f>
        <v>466694.6</v>
      </c>
    </row>
    <row r="962" spans="1:8" s="2" customFormat="1">
      <c r="A962" s="5"/>
      <c r="B962" s="9"/>
      <c r="E962" s="20"/>
      <c r="G962" s="32"/>
      <c r="H962" s="32"/>
    </row>
    <row r="963" spans="1:8" s="2" customFormat="1">
      <c r="A963" s="6" t="s">
        <v>2573</v>
      </c>
      <c r="B963" s="2" t="s">
        <v>2454</v>
      </c>
      <c r="D963" s="26"/>
      <c r="G963" s="32"/>
      <c r="H963" s="32"/>
    </row>
    <row r="964" spans="1:8" s="2" customFormat="1">
      <c r="A964" s="6"/>
      <c r="D964" s="26"/>
      <c r="G964" s="32"/>
      <c r="H964" s="32"/>
    </row>
    <row r="965" spans="1:8" s="2" customFormat="1">
      <c r="A965" s="6"/>
      <c r="C965" s="2" t="s">
        <v>1180</v>
      </c>
      <c r="D965" s="26">
        <v>110000</v>
      </c>
      <c r="E965" s="2">
        <v>510010</v>
      </c>
      <c r="F965" s="2">
        <v>799999</v>
      </c>
      <c r="G965" s="32">
        <f>149897-82276</f>
        <v>67621</v>
      </c>
      <c r="H965" s="32">
        <f>149897-82276</f>
        <v>67621</v>
      </c>
    </row>
    <row r="966" spans="1:8" s="2" customFormat="1">
      <c r="A966" s="6"/>
      <c r="C966" s="8" t="s">
        <v>2235</v>
      </c>
      <c r="D966" s="26"/>
      <c r="G966" s="32">
        <f>G965</f>
        <v>67621</v>
      </c>
      <c r="H966" s="32">
        <f>H965</f>
        <v>67621</v>
      </c>
    </row>
    <row r="967" spans="1:8" s="2" customFormat="1">
      <c r="A967" s="6"/>
      <c r="D967" s="26"/>
      <c r="G967" s="32"/>
      <c r="H967" s="32"/>
    </row>
    <row r="968" spans="1:8" s="2" customFormat="1">
      <c r="A968" s="6" t="s">
        <v>474</v>
      </c>
      <c r="B968" s="2" t="s">
        <v>905</v>
      </c>
      <c r="E968" s="20"/>
      <c r="G968" s="32"/>
      <c r="H968" s="32"/>
    </row>
    <row r="969" spans="1:8" s="2" customFormat="1">
      <c r="A969" s="5"/>
      <c r="E969" s="20"/>
      <c r="G969" s="32"/>
      <c r="H969" s="32"/>
    </row>
    <row r="970" spans="1:8" s="2" customFormat="1">
      <c r="A970" s="5"/>
      <c r="C970" s="2" t="s">
        <v>2234</v>
      </c>
      <c r="D970" s="2">
        <v>110000</v>
      </c>
      <c r="E970" s="20" t="s">
        <v>474</v>
      </c>
      <c r="F970" s="2">
        <v>710000</v>
      </c>
      <c r="G970" s="32">
        <f>34000-1040</f>
        <v>32960</v>
      </c>
      <c r="H970" s="32">
        <f>34000-1040</f>
        <v>32960</v>
      </c>
    </row>
    <row r="971" spans="1:8" s="2" customFormat="1">
      <c r="A971" s="5"/>
      <c r="C971" s="8" t="s">
        <v>2235</v>
      </c>
      <c r="E971" s="20"/>
      <c r="G971" s="32">
        <f>G970</f>
        <v>32960</v>
      </c>
      <c r="H971" s="32">
        <f>H970</f>
        <v>32960</v>
      </c>
    </row>
    <row r="972" spans="1:8" s="2" customFormat="1">
      <c r="A972" s="5"/>
      <c r="E972" s="20"/>
      <c r="G972" s="32"/>
      <c r="H972" s="32"/>
    </row>
    <row r="973" spans="1:8" s="2" customFormat="1">
      <c r="A973" s="5" t="s">
        <v>3037</v>
      </c>
      <c r="B973" s="2" t="s">
        <v>1580</v>
      </c>
      <c r="E973" s="20"/>
      <c r="G973" s="32"/>
      <c r="H973" s="32"/>
    </row>
    <row r="974" spans="1:8" s="2" customFormat="1">
      <c r="A974" s="5"/>
      <c r="E974" s="20"/>
      <c r="G974" s="32"/>
      <c r="H974" s="32"/>
    </row>
    <row r="975" spans="1:8" s="2" customFormat="1">
      <c r="A975" s="5" t="s">
        <v>1991</v>
      </c>
      <c r="B975" s="2" t="s">
        <v>1581</v>
      </c>
      <c r="C975" s="2" t="s">
        <v>764</v>
      </c>
      <c r="D975" s="2">
        <v>110000</v>
      </c>
      <c r="E975" s="20" t="s">
        <v>3037</v>
      </c>
      <c r="F975" s="2">
        <v>610410</v>
      </c>
      <c r="G975" s="32">
        <f>19615+549</f>
        <v>20164</v>
      </c>
      <c r="H975" s="32">
        <f>19615+549</f>
        <v>20164</v>
      </c>
    </row>
    <row r="976" spans="1:8" s="2" customFormat="1">
      <c r="A976" s="5"/>
      <c r="C976" s="2" t="s">
        <v>2951</v>
      </c>
      <c r="D976" s="2">
        <v>110000</v>
      </c>
      <c r="E976" s="20" t="s">
        <v>3037</v>
      </c>
      <c r="F976" s="2">
        <v>630000</v>
      </c>
      <c r="G976" s="32">
        <f>G975*0.21</f>
        <v>4234.4399999999996</v>
      </c>
      <c r="H976" s="32">
        <f>H975*0.21</f>
        <v>4234.4399999999996</v>
      </c>
    </row>
    <row r="977" spans="1:8" s="2" customFormat="1">
      <c r="A977" s="5"/>
      <c r="C977" s="8" t="s">
        <v>1129</v>
      </c>
      <c r="E977" s="20"/>
      <c r="G977" s="32">
        <f>G975+G976</f>
        <v>24398.44</v>
      </c>
      <c r="H977" s="32">
        <f>H975+H976</f>
        <v>24398.44</v>
      </c>
    </row>
    <row r="978" spans="1:8" s="2" customFormat="1">
      <c r="A978" s="5"/>
      <c r="C978" s="2" t="s">
        <v>2234</v>
      </c>
      <c r="D978" s="2">
        <v>110000</v>
      </c>
      <c r="E978" s="20" t="s">
        <v>3037</v>
      </c>
      <c r="F978" s="2">
        <v>710000</v>
      </c>
      <c r="G978" s="32">
        <f>142338-4258-2428</f>
        <v>135652</v>
      </c>
      <c r="H978" s="32">
        <f>142338-4258-2428</f>
        <v>135652</v>
      </c>
    </row>
    <row r="979" spans="1:8" s="2" customFormat="1">
      <c r="A979" s="5"/>
      <c r="C979" s="8" t="s">
        <v>2235</v>
      </c>
      <c r="E979" s="20"/>
      <c r="G979" s="32">
        <f>SUM(G977:G978)</f>
        <v>160050.44</v>
      </c>
      <c r="H979" s="32">
        <f>SUM(H977:H978)</f>
        <v>160050.44</v>
      </c>
    </row>
    <row r="980" spans="1:8" s="2" customFormat="1">
      <c r="A980" s="5"/>
      <c r="E980" s="20"/>
      <c r="G980" s="32"/>
      <c r="H980" s="32"/>
    </row>
    <row r="981" spans="1:8" s="2" customFormat="1">
      <c r="A981" s="6" t="s">
        <v>473</v>
      </c>
      <c r="B981" s="9" t="s">
        <v>952</v>
      </c>
      <c r="E981" s="20"/>
      <c r="G981" s="32"/>
      <c r="H981" s="32"/>
    </row>
    <row r="982" spans="1:8" s="2" customFormat="1">
      <c r="A982" s="5"/>
      <c r="E982" s="20"/>
      <c r="G982" s="32"/>
      <c r="H982" s="32"/>
    </row>
    <row r="983" spans="1:8" s="2" customFormat="1">
      <c r="A983" s="5" t="s">
        <v>393</v>
      </c>
      <c r="B983" s="9" t="s">
        <v>953</v>
      </c>
      <c r="C983" s="9" t="s">
        <v>1011</v>
      </c>
      <c r="D983" s="2">
        <v>110000</v>
      </c>
      <c r="E983" s="20" t="s">
        <v>473</v>
      </c>
      <c r="F983" s="2">
        <v>610210</v>
      </c>
      <c r="G983" s="32">
        <f>90000+2700</f>
        <v>92700</v>
      </c>
      <c r="H983" s="32">
        <f>90000+2700</f>
        <v>92700</v>
      </c>
    </row>
    <row r="984" spans="1:8" s="2" customFormat="1">
      <c r="A984" s="5" t="s">
        <v>394</v>
      </c>
      <c r="B984" s="9" t="s">
        <v>954</v>
      </c>
      <c r="C984" s="9" t="s">
        <v>1595</v>
      </c>
      <c r="D984" s="2">
        <v>110000</v>
      </c>
      <c r="E984" s="20" t="s">
        <v>473</v>
      </c>
      <c r="F984" s="2">
        <v>610210</v>
      </c>
      <c r="G984" s="32">
        <f>54471+1362</f>
        <v>55833</v>
      </c>
      <c r="H984" s="32">
        <f>54471+1362</f>
        <v>55833</v>
      </c>
    </row>
    <row r="985" spans="1:8" s="2" customFormat="1">
      <c r="A985" s="5" t="s">
        <v>395</v>
      </c>
      <c r="B985" s="9" t="s">
        <v>955</v>
      </c>
      <c r="C985" s="9" t="s">
        <v>1595</v>
      </c>
      <c r="D985" s="2">
        <v>110000</v>
      </c>
      <c r="E985" s="20" t="s">
        <v>473</v>
      </c>
      <c r="F985" s="2">
        <v>610210</v>
      </c>
      <c r="G985" s="32">
        <f>43953+1591</f>
        <v>45544</v>
      </c>
      <c r="H985" s="32">
        <f>43953+1591</f>
        <v>45544</v>
      </c>
    </row>
    <row r="986" spans="1:8" s="2" customFormat="1">
      <c r="A986" s="5" t="s">
        <v>396</v>
      </c>
      <c r="B986" s="9" t="s">
        <v>1012</v>
      </c>
      <c r="C986" s="9" t="s">
        <v>531</v>
      </c>
      <c r="D986" s="2">
        <v>110000</v>
      </c>
      <c r="E986" s="20" t="s">
        <v>473</v>
      </c>
      <c r="F986" s="2">
        <v>610410</v>
      </c>
      <c r="G986" s="32">
        <f>45696+1279</f>
        <v>46975</v>
      </c>
      <c r="H986" s="32">
        <f>45696+1279</f>
        <v>46975</v>
      </c>
    </row>
    <row r="987" spans="1:8" s="2" customFormat="1">
      <c r="A987" s="5" t="s">
        <v>397</v>
      </c>
      <c r="B987" s="9" t="s">
        <v>956</v>
      </c>
      <c r="C987" s="9" t="s">
        <v>531</v>
      </c>
      <c r="D987" s="2">
        <v>110000</v>
      </c>
      <c r="E987" s="20" t="s">
        <v>473</v>
      </c>
      <c r="F987" s="2">
        <v>610410</v>
      </c>
      <c r="G987" s="32">
        <f>49582+1388</f>
        <v>50970</v>
      </c>
      <c r="H987" s="32">
        <f>49582+1388</f>
        <v>50970</v>
      </c>
    </row>
    <row r="988" spans="1:8" s="2" customFormat="1">
      <c r="A988" s="5" t="s">
        <v>398</v>
      </c>
      <c r="B988" s="9" t="s">
        <v>957</v>
      </c>
      <c r="C988" s="9" t="s">
        <v>532</v>
      </c>
      <c r="D988" s="2">
        <v>110000</v>
      </c>
      <c r="E988" s="20" t="s">
        <v>473</v>
      </c>
      <c r="F988" s="2">
        <v>610410</v>
      </c>
      <c r="G988" s="32">
        <f>41737+1169</f>
        <v>42906</v>
      </c>
      <c r="H988" s="32">
        <f>41737+1169</f>
        <v>42906</v>
      </c>
    </row>
    <row r="989" spans="1:8" s="2" customFormat="1">
      <c r="A989" s="5" t="s">
        <v>399</v>
      </c>
      <c r="B989" s="9" t="s">
        <v>958</v>
      </c>
      <c r="C989" s="9" t="s">
        <v>532</v>
      </c>
      <c r="D989" s="2">
        <v>110000</v>
      </c>
      <c r="E989" s="20" t="s">
        <v>473</v>
      </c>
      <c r="F989" s="2">
        <v>610410</v>
      </c>
      <c r="G989" s="32">
        <f>39184+1097</f>
        <v>40281</v>
      </c>
      <c r="H989" s="32">
        <f>39184+1097</f>
        <v>40281</v>
      </c>
    </row>
    <row r="990" spans="1:8" s="2" customFormat="1">
      <c r="A990" s="5" t="s">
        <v>400</v>
      </c>
      <c r="B990" s="9" t="s">
        <v>959</v>
      </c>
      <c r="C990" s="9" t="s">
        <v>532</v>
      </c>
      <c r="D990" s="2">
        <v>110000</v>
      </c>
      <c r="E990" s="20" t="s">
        <v>473</v>
      </c>
      <c r="F990" s="2">
        <v>610410</v>
      </c>
      <c r="G990" s="32">
        <f>40228+1126</f>
        <v>41354</v>
      </c>
      <c r="H990" s="32">
        <f>40228+1126</f>
        <v>41354</v>
      </c>
    </row>
    <row r="991" spans="1:8" s="2" customFormat="1">
      <c r="A991" s="5" t="s">
        <v>401</v>
      </c>
      <c r="B991" s="9" t="s">
        <v>960</v>
      </c>
      <c r="C991" s="9" t="s">
        <v>1493</v>
      </c>
      <c r="D991" s="2">
        <v>110000</v>
      </c>
      <c r="E991" s="20" t="s">
        <v>473</v>
      </c>
      <c r="F991" s="2">
        <v>610410</v>
      </c>
      <c r="G991" s="32">
        <f>51956+1455</f>
        <v>53411</v>
      </c>
      <c r="H991" s="32">
        <f>51956+1455</f>
        <v>53411</v>
      </c>
    </row>
    <row r="992" spans="1:8" s="2" customFormat="1">
      <c r="A992" s="5" t="s">
        <v>402</v>
      </c>
      <c r="B992" s="9" t="s">
        <v>606</v>
      </c>
      <c r="C992" s="9" t="s">
        <v>1494</v>
      </c>
      <c r="D992" s="2">
        <v>110000</v>
      </c>
      <c r="E992" s="20" t="s">
        <v>473</v>
      </c>
      <c r="F992" s="2">
        <v>610410</v>
      </c>
      <c r="G992" s="32">
        <f>37992+1064</f>
        <v>39056</v>
      </c>
      <c r="H992" s="32">
        <f>37992+1064</f>
        <v>39056</v>
      </c>
    </row>
    <row r="993" spans="1:8" s="2" customFormat="1">
      <c r="A993" s="5" t="s">
        <v>403</v>
      </c>
      <c r="B993" s="9" t="s">
        <v>607</v>
      </c>
      <c r="C993" s="9" t="s">
        <v>1495</v>
      </c>
      <c r="D993" s="2">
        <v>110000</v>
      </c>
      <c r="E993" s="20" t="s">
        <v>473</v>
      </c>
      <c r="F993" s="2">
        <v>610410</v>
      </c>
      <c r="G993" s="32">
        <f>47315+1325</f>
        <v>48640</v>
      </c>
      <c r="H993" s="32">
        <f>47315+1325</f>
        <v>48640</v>
      </c>
    </row>
    <row r="994" spans="1:8" s="2" customFormat="1">
      <c r="A994" s="5" t="s">
        <v>404</v>
      </c>
      <c r="B994" s="9" t="s">
        <v>1596</v>
      </c>
      <c r="C994" s="9" t="s">
        <v>1495</v>
      </c>
      <c r="D994" s="2">
        <v>110000</v>
      </c>
      <c r="E994" s="20" t="s">
        <v>473</v>
      </c>
      <c r="F994" s="2">
        <v>610410</v>
      </c>
      <c r="G994" s="32">
        <f>34548+967</f>
        <v>35515</v>
      </c>
      <c r="H994" s="32">
        <f>34548+967</f>
        <v>35515</v>
      </c>
    </row>
    <row r="995" spans="1:8" s="2" customFormat="1">
      <c r="A995" s="5" t="s">
        <v>405</v>
      </c>
      <c r="B995" s="9" t="s">
        <v>871</v>
      </c>
      <c r="C995" s="9" t="s">
        <v>1495</v>
      </c>
      <c r="D995" s="2">
        <v>110000</v>
      </c>
      <c r="E995" s="20" t="s">
        <v>473</v>
      </c>
      <c r="F995" s="2">
        <v>610410</v>
      </c>
      <c r="G995" s="32">
        <f>43967+1231</f>
        <v>45198</v>
      </c>
      <c r="H995" s="32">
        <f>43967+1231</f>
        <v>45198</v>
      </c>
    </row>
    <row r="996" spans="1:8" s="2" customFormat="1">
      <c r="A996" s="5" t="s">
        <v>406</v>
      </c>
      <c r="B996" s="9" t="s">
        <v>872</v>
      </c>
      <c r="C996" s="9" t="s">
        <v>1495</v>
      </c>
      <c r="D996" s="2">
        <v>110000</v>
      </c>
      <c r="E996" s="20" t="s">
        <v>473</v>
      </c>
      <c r="F996" s="2">
        <v>610410</v>
      </c>
      <c r="G996" s="32">
        <f>30913+866</f>
        <v>31779</v>
      </c>
      <c r="H996" s="32">
        <f>30913+866</f>
        <v>31779</v>
      </c>
    </row>
    <row r="997" spans="1:8" s="2" customFormat="1">
      <c r="A997" s="5" t="s">
        <v>407</v>
      </c>
      <c r="B997" s="9" t="s">
        <v>873</v>
      </c>
      <c r="C997" s="9" t="s">
        <v>874</v>
      </c>
      <c r="D997" s="2">
        <v>110000</v>
      </c>
      <c r="E997" s="20" t="s">
        <v>473</v>
      </c>
      <c r="F997" s="2">
        <v>610410</v>
      </c>
      <c r="G997" s="32">
        <f>33276+932</f>
        <v>34208</v>
      </c>
      <c r="H997" s="32">
        <f>33276+932</f>
        <v>34208</v>
      </c>
    </row>
    <row r="998" spans="1:8" s="2" customFormat="1">
      <c r="A998" s="10" t="s">
        <v>408</v>
      </c>
      <c r="B998" s="4" t="s">
        <v>875</v>
      </c>
      <c r="C998" s="11" t="s">
        <v>876</v>
      </c>
      <c r="D998" s="2">
        <v>110000</v>
      </c>
      <c r="E998" s="20" t="s">
        <v>473</v>
      </c>
      <c r="F998" s="2">
        <v>610410</v>
      </c>
      <c r="G998" s="35">
        <f>27520+771</f>
        <v>28291</v>
      </c>
      <c r="H998" s="35">
        <f>27520+771</f>
        <v>28291</v>
      </c>
    </row>
    <row r="999" spans="1:8" s="2" customFormat="1">
      <c r="A999" s="5" t="s">
        <v>409</v>
      </c>
      <c r="B999" s="9" t="s">
        <v>1014</v>
      </c>
      <c r="C999" s="9" t="s">
        <v>2793</v>
      </c>
      <c r="D999" s="2">
        <v>110000</v>
      </c>
      <c r="E999" s="20" t="s">
        <v>473</v>
      </c>
      <c r="F999" s="2">
        <v>610410</v>
      </c>
      <c r="G999" s="32">
        <f>30083+842</f>
        <v>30925</v>
      </c>
      <c r="H999" s="32">
        <f>30083+842</f>
        <v>30925</v>
      </c>
    </row>
    <row r="1000" spans="1:8" s="2" customFormat="1">
      <c r="A1000" s="5" t="s">
        <v>410</v>
      </c>
      <c r="B1000" s="9" t="s">
        <v>877</v>
      </c>
      <c r="C1000" s="9" t="s">
        <v>2793</v>
      </c>
      <c r="D1000" s="2">
        <v>110000</v>
      </c>
      <c r="E1000" s="20" t="s">
        <v>473</v>
      </c>
      <c r="F1000" s="2">
        <v>610410</v>
      </c>
      <c r="G1000" s="32">
        <f>30474+853</f>
        <v>31327</v>
      </c>
      <c r="H1000" s="32">
        <f>30474+853</f>
        <v>31327</v>
      </c>
    </row>
    <row r="1001" spans="1:8" s="2" customFormat="1">
      <c r="A1001" s="5" t="s">
        <v>411</v>
      </c>
      <c r="B1001" s="9" t="s">
        <v>780</v>
      </c>
      <c r="C1001" s="9" t="s">
        <v>2793</v>
      </c>
      <c r="D1001" s="2">
        <v>110000</v>
      </c>
      <c r="E1001" s="20" t="s">
        <v>473</v>
      </c>
      <c r="F1001" s="2">
        <v>610410</v>
      </c>
      <c r="G1001" s="32">
        <f>28226+790</f>
        <v>29016</v>
      </c>
      <c r="H1001" s="32">
        <f>28226+790</f>
        <v>29016</v>
      </c>
    </row>
    <row r="1002" spans="1:8" s="2" customFormat="1">
      <c r="A1002" s="5" t="s">
        <v>412</v>
      </c>
      <c r="B1002" s="9" t="s">
        <v>970</v>
      </c>
      <c r="C1002" s="9" t="s">
        <v>2793</v>
      </c>
      <c r="D1002" s="2">
        <v>110000</v>
      </c>
      <c r="E1002" s="20" t="s">
        <v>473</v>
      </c>
      <c r="F1002" s="2">
        <v>610410</v>
      </c>
      <c r="G1002" s="32">
        <f>27520+771</f>
        <v>28291</v>
      </c>
      <c r="H1002" s="32">
        <f>27520+771</f>
        <v>28291</v>
      </c>
    </row>
    <row r="1003" spans="1:8" s="2" customFormat="1">
      <c r="A1003" s="5" t="s">
        <v>413</v>
      </c>
      <c r="B1003" s="2" t="s">
        <v>974</v>
      </c>
      <c r="C1003" s="9" t="s">
        <v>2794</v>
      </c>
      <c r="D1003" s="2">
        <v>110000</v>
      </c>
      <c r="E1003" s="20" t="s">
        <v>473</v>
      </c>
      <c r="F1003" s="2">
        <v>610410</v>
      </c>
      <c r="G1003" s="32">
        <f>28246+791</f>
        <v>29037</v>
      </c>
      <c r="H1003" s="32">
        <f>28246+791</f>
        <v>29037</v>
      </c>
    </row>
    <row r="1004" spans="1:8" s="2" customFormat="1">
      <c r="A1004" s="5" t="s">
        <v>414</v>
      </c>
      <c r="B1004" s="9" t="s">
        <v>781</v>
      </c>
      <c r="C1004" s="9" t="s">
        <v>2794</v>
      </c>
      <c r="D1004" s="2">
        <v>110000</v>
      </c>
      <c r="E1004" s="20" t="s">
        <v>473</v>
      </c>
      <c r="F1004" s="2">
        <v>610410</v>
      </c>
      <c r="G1004" s="32">
        <f>24245+679</f>
        <v>24924</v>
      </c>
      <c r="H1004" s="32">
        <f>24245+679</f>
        <v>24924</v>
      </c>
    </row>
    <row r="1005" spans="1:8" s="2" customFormat="1">
      <c r="A1005" s="5" t="s">
        <v>415</v>
      </c>
      <c r="B1005" s="9" t="s">
        <v>971</v>
      </c>
      <c r="C1005" s="9" t="s">
        <v>2794</v>
      </c>
      <c r="D1005" s="2">
        <v>110000</v>
      </c>
      <c r="E1005" s="20" t="s">
        <v>473</v>
      </c>
      <c r="F1005" s="2">
        <v>610410</v>
      </c>
      <c r="G1005" s="32">
        <f>29186+817</f>
        <v>30003</v>
      </c>
      <c r="H1005" s="32">
        <f>29186+817</f>
        <v>30003</v>
      </c>
    </row>
    <row r="1006" spans="1:8" s="2" customFormat="1">
      <c r="A1006" s="5" t="s">
        <v>416</v>
      </c>
      <c r="C1006" s="9" t="s">
        <v>2795</v>
      </c>
      <c r="D1006" s="2">
        <v>110000</v>
      </c>
      <c r="E1006" s="20" t="s">
        <v>473</v>
      </c>
      <c r="F1006" s="2">
        <v>610410</v>
      </c>
      <c r="G1006" s="32">
        <f>24894</f>
        <v>24894</v>
      </c>
      <c r="H1006" s="32">
        <v>24894</v>
      </c>
    </row>
    <row r="1007" spans="1:8" s="2" customFormat="1">
      <c r="A1007" s="5" t="s">
        <v>417</v>
      </c>
      <c r="B1007" s="9" t="s">
        <v>972</v>
      </c>
      <c r="C1007" s="9" t="s">
        <v>2795</v>
      </c>
      <c r="D1007" s="2">
        <v>110000</v>
      </c>
      <c r="E1007" s="20" t="s">
        <v>473</v>
      </c>
      <c r="F1007" s="2">
        <v>610410</v>
      </c>
      <c r="G1007" s="32">
        <f>25721+720</f>
        <v>26441</v>
      </c>
      <c r="H1007" s="32">
        <f>25721+720</f>
        <v>26441</v>
      </c>
    </row>
    <row r="1008" spans="1:8" s="2" customFormat="1">
      <c r="A1008" s="5" t="s">
        <v>418</v>
      </c>
      <c r="B1008" s="9" t="s">
        <v>973</v>
      </c>
      <c r="C1008" s="9" t="s">
        <v>2795</v>
      </c>
      <c r="D1008" s="2">
        <v>110000</v>
      </c>
      <c r="E1008" s="20" t="s">
        <v>473</v>
      </c>
      <c r="F1008" s="2">
        <v>610410</v>
      </c>
      <c r="G1008" s="32">
        <f>22693+635</f>
        <v>23328</v>
      </c>
      <c r="H1008" s="32">
        <f>22693+635</f>
        <v>23328</v>
      </c>
    </row>
    <row r="1009" spans="1:8" s="2" customFormat="1">
      <c r="A1009" s="5"/>
      <c r="C1009" s="9"/>
      <c r="E1009" s="20"/>
      <c r="G1009" s="32"/>
      <c r="H1009" s="32"/>
    </row>
    <row r="1010" spans="1:8" s="2" customFormat="1">
      <c r="A1010" s="6" t="s">
        <v>473</v>
      </c>
      <c r="B1010" s="9" t="s">
        <v>952</v>
      </c>
      <c r="C1010" s="9"/>
      <c r="E1010" s="20"/>
      <c r="G1010" s="32"/>
      <c r="H1010" s="32"/>
    </row>
    <row r="1011" spans="1:8" s="2" customFormat="1">
      <c r="A1011" s="5"/>
      <c r="C1011" s="9"/>
      <c r="E1011" s="20"/>
      <c r="G1011" s="32"/>
      <c r="H1011" s="32"/>
    </row>
    <row r="1012" spans="1:8" s="2" customFormat="1">
      <c r="A1012" s="5" t="s">
        <v>419</v>
      </c>
      <c r="B1012" s="2" t="s">
        <v>1013</v>
      </c>
      <c r="C1012" s="9" t="s">
        <v>1495</v>
      </c>
      <c r="D1012" s="2">
        <v>110000</v>
      </c>
      <c r="E1012" s="20" t="s">
        <v>473</v>
      </c>
      <c r="F1012" s="2">
        <v>610410</v>
      </c>
      <c r="G1012" s="32">
        <f>32000+896</f>
        <v>32896</v>
      </c>
      <c r="H1012" s="32">
        <f>32000+896</f>
        <v>32896</v>
      </c>
    </row>
    <row r="1013" spans="1:8" s="2" customFormat="1">
      <c r="A1013" s="5" t="s">
        <v>420</v>
      </c>
      <c r="B1013" s="2" t="s">
        <v>2869</v>
      </c>
      <c r="C1013" s="9" t="s">
        <v>2795</v>
      </c>
      <c r="D1013" s="2">
        <v>110000</v>
      </c>
      <c r="E1013" s="20" t="s">
        <v>473</v>
      </c>
      <c r="F1013" s="2">
        <v>610410</v>
      </c>
      <c r="G1013" s="32">
        <f>24122+675</f>
        <v>24797</v>
      </c>
      <c r="H1013" s="32">
        <f>24122+675</f>
        <v>24797</v>
      </c>
    </row>
    <row r="1014" spans="1:8" s="2" customFormat="1">
      <c r="A1014" s="5" t="s">
        <v>421</v>
      </c>
      <c r="C1014" s="9" t="s">
        <v>2795</v>
      </c>
      <c r="D1014" s="2">
        <v>110000</v>
      </c>
      <c r="E1014" s="20" t="s">
        <v>473</v>
      </c>
      <c r="F1014" s="2">
        <v>610410</v>
      </c>
      <c r="G1014" s="32">
        <v>24894</v>
      </c>
      <c r="H1014" s="32">
        <v>24894</v>
      </c>
    </row>
    <row r="1015" spans="1:8" s="2" customFormat="1">
      <c r="A1015" s="5" t="s">
        <v>422</v>
      </c>
      <c r="B1015" s="9" t="s">
        <v>1041</v>
      </c>
      <c r="C1015" s="9" t="s">
        <v>1039</v>
      </c>
      <c r="D1015" s="2">
        <v>110000</v>
      </c>
      <c r="E1015" s="20" t="s">
        <v>473</v>
      </c>
      <c r="F1015" s="2">
        <v>610410</v>
      </c>
      <c r="G1015" s="32">
        <f>24400+683</f>
        <v>25083</v>
      </c>
      <c r="H1015" s="32">
        <f>24400+683</f>
        <v>25083</v>
      </c>
    </row>
    <row r="1016" spans="1:8" s="2" customFormat="1">
      <c r="A1016" s="5" t="s">
        <v>423</v>
      </c>
      <c r="B1016" s="9" t="s">
        <v>1040</v>
      </c>
      <c r="C1016" s="9" t="s">
        <v>2992</v>
      </c>
      <c r="D1016" s="2">
        <v>110000</v>
      </c>
      <c r="E1016" s="20" t="s">
        <v>473</v>
      </c>
      <c r="F1016" s="2">
        <v>610410</v>
      </c>
      <c r="G1016" s="32">
        <f>18282+512</f>
        <v>18794</v>
      </c>
      <c r="H1016" s="32">
        <f>18282+512</f>
        <v>18794</v>
      </c>
    </row>
    <row r="1017" spans="1:8" s="2" customFormat="1">
      <c r="A1017" s="5" t="s">
        <v>424</v>
      </c>
      <c r="B1017" s="9" t="s">
        <v>901</v>
      </c>
      <c r="C1017" s="9" t="s">
        <v>904</v>
      </c>
      <c r="D1017" s="2">
        <v>110000</v>
      </c>
      <c r="E1017" s="20" t="s">
        <v>473</v>
      </c>
      <c r="F1017" s="2">
        <v>610410</v>
      </c>
      <c r="G1017" s="32">
        <f>18860+528</f>
        <v>19388</v>
      </c>
      <c r="H1017" s="32">
        <f>18860+528</f>
        <v>19388</v>
      </c>
    </row>
    <row r="1018" spans="1:8" s="2" customFormat="1">
      <c r="A1018" s="1" t="s">
        <v>425</v>
      </c>
      <c r="B1018" s="11" t="s">
        <v>899</v>
      </c>
      <c r="C1018" s="11" t="s">
        <v>900</v>
      </c>
      <c r="D1018" s="2">
        <v>110000</v>
      </c>
      <c r="E1018" s="20" t="s">
        <v>473</v>
      </c>
      <c r="F1018" s="2">
        <v>610410</v>
      </c>
      <c r="G1018" s="35">
        <f>20167+565</f>
        <v>20732</v>
      </c>
      <c r="H1018" s="35">
        <f>20167+565</f>
        <v>20732</v>
      </c>
    </row>
    <row r="1019" spans="1:8" s="2" customFormat="1">
      <c r="A1019" s="5" t="s">
        <v>426</v>
      </c>
      <c r="B1019" s="2" t="s">
        <v>1524</v>
      </c>
      <c r="C1019" s="9" t="s">
        <v>902</v>
      </c>
      <c r="D1019" s="2">
        <v>110000</v>
      </c>
      <c r="E1019" s="20" t="s">
        <v>473</v>
      </c>
      <c r="F1019" s="2">
        <v>610410</v>
      </c>
      <c r="G1019" s="32">
        <f>18612+521</f>
        <v>19133</v>
      </c>
      <c r="H1019" s="32">
        <f>18612+521</f>
        <v>19133</v>
      </c>
    </row>
    <row r="1020" spans="1:8" s="2" customFormat="1">
      <c r="A1020" s="6" t="s">
        <v>427</v>
      </c>
      <c r="B1020" s="9" t="s">
        <v>903</v>
      </c>
      <c r="C1020" s="9" t="s">
        <v>904</v>
      </c>
      <c r="D1020" s="2">
        <v>110000</v>
      </c>
      <c r="E1020" s="20" t="s">
        <v>473</v>
      </c>
      <c r="F1020" s="2">
        <v>610410</v>
      </c>
      <c r="G1020" s="32">
        <f>19383+543</f>
        <v>19926</v>
      </c>
      <c r="H1020" s="32">
        <f>19383+543</f>
        <v>19926</v>
      </c>
    </row>
    <row r="1021" spans="1:8" s="2" customFormat="1">
      <c r="A1021" s="5" t="s">
        <v>428</v>
      </c>
      <c r="B1021" s="9"/>
      <c r="C1021" s="9" t="s">
        <v>1613</v>
      </c>
      <c r="D1021" s="2">
        <v>110000</v>
      </c>
      <c r="E1021" s="20" t="s">
        <v>473</v>
      </c>
      <c r="F1021" s="2">
        <v>610410</v>
      </c>
      <c r="G1021" s="32">
        <f>19523+547</f>
        <v>20070</v>
      </c>
      <c r="H1021" s="32">
        <f>19523+547</f>
        <v>20070</v>
      </c>
    </row>
    <row r="1022" spans="1:8" s="2" customFormat="1">
      <c r="A1022" s="5"/>
      <c r="C1022" s="9" t="s">
        <v>1611</v>
      </c>
      <c r="D1022" s="2">
        <v>110000</v>
      </c>
      <c r="E1022" s="20" t="s">
        <v>473</v>
      </c>
      <c r="F1022" s="2">
        <v>620000</v>
      </c>
      <c r="G1022" s="32">
        <v>90000</v>
      </c>
      <c r="H1022" s="32">
        <v>90000</v>
      </c>
    </row>
    <row r="1023" spans="1:8" s="2" customFormat="1">
      <c r="A1023" s="5"/>
      <c r="C1023" s="9" t="s">
        <v>2950</v>
      </c>
      <c r="D1023" s="2">
        <v>110000</v>
      </c>
      <c r="E1023" s="20" t="s">
        <v>473</v>
      </c>
      <c r="F1023" s="2">
        <v>610000</v>
      </c>
      <c r="G1023" s="32">
        <f>9339+2173</f>
        <v>11512</v>
      </c>
      <c r="H1023" s="32">
        <f>9339+2173</f>
        <v>11512</v>
      </c>
    </row>
    <row r="1024" spans="1:8" s="2" customFormat="1">
      <c r="A1024" s="5"/>
      <c r="C1024" s="9" t="s">
        <v>2951</v>
      </c>
      <c r="D1024" s="2">
        <v>110000</v>
      </c>
      <c r="E1024" s="20" t="s">
        <v>473</v>
      </c>
      <c r="F1024" s="2">
        <v>630000</v>
      </c>
      <c r="G1024" s="32">
        <f>SUM(G983:G1023)*0.19</f>
        <v>254233.68</v>
      </c>
      <c r="H1024" s="32">
        <f>SUM(H983:H1023)*0.19</f>
        <v>254233.68</v>
      </c>
    </row>
    <row r="1025" spans="1:8" s="2" customFormat="1">
      <c r="A1025" s="5"/>
      <c r="C1025" s="12" t="s">
        <v>1129</v>
      </c>
      <c r="E1025" s="20"/>
      <c r="G1025" s="32">
        <f>SUM(G983:G1024)</f>
        <v>1592305.68</v>
      </c>
      <c r="H1025" s="32">
        <f>SUM(H983:H1024)</f>
        <v>1592305.68</v>
      </c>
    </row>
    <row r="1026" spans="1:8" s="2" customFormat="1">
      <c r="A1026" s="5"/>
      <c r="C1026" s="2" t="s">
        <v>2234</v>
      </c>
      <c r="D1026" s="2">
        <v>110000</v>
      </c>
      <c r="E1026" s="20" t="s">
        <v>473</v>
      </c>
      <c r="F1026" s="2">
        <v>710000</v>
      </c>
      <c r="G1026" s="32">
        <f>692636-46203</f>
        <v>646433</v>
      </c>
      <c r="H1026" s="38">
        <f>692636-46203</f>
        <v>646433</v>
      </c>
    </row>
    <row r="1027" spans="1:8" s="2" customFormat="1">
      <c r="A1027" s="5"/>
      <c r="C1027" s="8" t="s">
        <v>2235</v>
      </c>
      <c r="E1027" s="20"/>
      <c r="G1027" s="32">
        <f>G1025+G1026</f>
        <v>2238738.6799999997</v>
      </c>
      <c r="H1027" s="32">
        <f>H1025+H1026</f>
        <v>2238738.6799999997</v>
      </c>
    </row>
    <row r="1028" spans="1:8" s="2" customFormat="1">
      <c r="A1028" s="5"/>
      <c r="E1028" s="20"/>
      <c r="G1028" s="32"/>
      <c r="H1028" s="32"/>
    </row>
    <row r="1029" spans="1:8" s="2" customFormat="1">
      <c r="A1029" s="5" t="s">
        <v>470</v>
      </c>
      <c r="B1029" s="2" t="s">
        <v>2167</v>
      </c>
      <c r="E1029" s="20"/>
      <c r="G1029" s="32"/>
      <c r="H1029" s="32"/>
    </row>
    <row r="1030" spans="1:8" s="2" customFormat="1">
      <c r="A1030" s="5"/>
      <c r="E1030" s="20"/>
      <c r="G1030" s="32"/>
      <c r="H1030" s="32"/>
    </row>
    <row r="1031" spans="1:8" s="2" customFormat="1">
      <c r="A1031" s="5" t="s">
        <v>348</v>
      </c>
      <c r="C1031" s="2" t="s">
        <v>2942</v>
      </c>
      <c r="D1031" s="2">
        <v>110000</v>
      </c>
      <c r="E1031" s="20" t="s">
        <v>470</v>
      </c>
      <c r="F1031" s="2">
        <v>610210</v>
      </c>
      <c r="G1031" s="32">
        <v>50000</v>
      </c>
      <c r="H1031" s="32">
        <v>50000</v>
      </c>
    </row>
    <row r="1032" spans="1:8" s="2" customFormat="1">
      <c r="A1032" s="5" t="s">
        <v>349</v>
      </c>
      <c r="B1032" s="2" t="s">
        <v>2169</v>
      </c>
      <c r="C1032" s="2" t="s">
        <v>2170</v>
      </c>
      <c r="D1032" s="2">
        <v>110000</v>
      </c>
      <c r="E1032" s="20" t="s">
        <v>470</v>
      </c>
      <c r="F1032" s="2">
        <v>610210</v>
      </c>
      <c r="G1032" s="32">
        <f>15064+452</f>
        <v>15516</v>
      </c>
      <c r="H1032" s="32">
        <f>15064+452</f>
        <v>15516</v>
      </c>
    </row>
    <row r="1033" spans="1:8" s="2" customFormat="1">
      <c r="A1033" s="5" t="s">
        <v>350</v>
      </c>
      <c r="B1033" s="2" t="s">
        <v>2171</v>
      </c>
      <c r="C1033" s="2" t="s">
        <v>1608</v>
      </c>
      <c r="D1033" s="2">
        <v>110000</v>
      </c>
      <c r="E1033" s="20" t="s">
        <v>470</v>
      </c>
      <c r="F1033" s="2">
        <v>610210</v>
      </c>
      <c r="G1033" s="32">
        <f>29672+890</f>
        <v>30562</v>
      </c>
      <c r="H1033" s="32">
        <f>29672+890</f>
        <v>30562</v>
      </c>
    </row>
    <row r="1034" spans="1:8" s="2" customFormat="1">
      <c r="A1034" s="5" t="s">
        <v>351</v>
      </c>
      <c r="B1034" s="2" t="s">
        <v>1009</v>
      </c>
      <c r="C1034" s="2" t="s">
        <v>1608</v>
      </c>
      <c r="D1034" s="2">
        <v>110000</v>
      </c>
      <c r="E1034" s="20" t="s">
        <v>470</v>
      </c>
      <c r="F1034" s="2">
        <v>610210</v>
      </c>
      <c r="G1034" s="32">
        <f>27500+825</f>
        <v>28325</v>
      </c>
      <c r="H1034" s="32">
        <f>27500+825</f>
        <v>28325</v>
      </c>
    </row>
    <row r="1035" spans="1:8" s="2" customFormat="1">
      <c r="A1035" s="5"/>
      <c r="C1035" s="2" t="s">
        <v>1611</v>
      </c>
      <c r="D1035" s="2">
        <v>110000</v>
      </c>
      <c r="E1035" s="20" t="s">
        <v>470</v>
      </c>
      <c r="F1035" s="2">
        <v>620000</v>
      </c>
      <c r="G1035" s="32">
        <v>0</v>
      </c>
      <c r="H1035" s="32">
        <v>0</v>
      </c>
    </row>
    <row r="1036" spans="1:8" s="2" customFormat="1">
      <c r="A1036" s="5"/>
      <c r="C1036" s="2" t="s">
        <v>2950</v>
      </c>
      <c r="D1036" s="2">
        <v>110000</v>
      </c>
      <c r="E1036" s="20" t="s">
        <v>470</v>
      </c>
      <c r="F1036" s="2">
        <v>610000</v>
      </c>
      <c r="G1036" s="36"/>
      <c r="H1036" s="36"/>
    </row>
    <row r="1037" spans="1:8" s="2" customFormat="1">
      <c r="A1037" s="5"/>
      <c r="C1037" s="2" t="s">
        <v>2951</v>
      </c>
      <c r="D1037" s="2">
        <v>110000</v>
      </c>
      <c r="E1037" s="20" t="s">
        <v>470</v>
      </c>
      <c r="F1037" s="2">
        <v>630000</v>
      </c>
      <c r="G1037" s="32">
        <f>SUM(G1031:G1036)*0.2</f>
        <v>24880.600000000002</v>
      </c>
      <c r="H1037" s="32">
        <f>SUM(H1031:H1036)*0.2</f>
        <v>24880.600000000002</v>
      </c>
    </row>
    <row r="1038" spans="1:8" s="2" customFormat="1">
      <c r="A1038" s="5"/>
      <c r="C1038" s="8" t="s">
        <v>1129</v>
      </c>
      <c r="E1038" s="20"/>
      <c r="G1038" s="32">
        <f>SUM(G1031:G1037)</f>
        <v>149283.6</v>
      </c>
      <c r="H1038" s="32">
        <f>SUM(H1031:H1037)</f>
        <v>149283.6</v>
      </c>
    </row>
    <row r="1039" spans="1:8" s="2" customFormat="1">
      <c r="A1039" s="5"/>
      <c r="C1039" s="2" t="s">
        <v>2234</v>
      </c>
      <c r="D1039" s="2">
        <v>110000</v>
      </c>
      <c r="E1039" s="20" t="s">
        <v>470</v>
      </c>
      <c r="F1039" s="2">
        <v>710000</v>
      </c>
      <c r="G1039" s="32">
        <f>11951-500</f>
        <v>11451</v>
      </c>
      <c r="H1039" s="39">
        <f>11951-500</f>
        <v>11451</v>
      </c>
    </row>
    <row r="1040" spans="1:8" s="2" customFormat="1">
      <c r="A1040" s="5"/>
      <c r="C1040" s="8" t="s">
        <v>2235</v>
      </c>
      <c r="E1040" s="20"/>
      <c r="G1040" s="32">
        <f>G1038+G1039</f>
        <v>160734.6</v>
      </c>
      <c r="H1040" s="32">
        <f>H1038+H1039</f>
        <v>160734.6</v>
      </c>
    </row>
    <row r="1041" spans="1:8" s="2" customFormat="1">
      <c r="A1041" s="5"/>
      <c r="E1041" s="20"/>
      <c r="G1041" s="32"/>
      <c r="H1041" s="32"/>
    </row>
    <row r="1042" spans="1:8" s="2" customFormat="1">
      <c r="A1042" s="6" t="s">
        <v>494</v>
      </c>
      <c r="B1042" s="9" t="s">
        <v>1110</v>
      </c>
      <c r="E1042" s="20"/>
      <c r="G1042" s="32"/>
      <c r="H1042" s="32"/>
    </row>
    <row r="1043" spans="1:8" s="2" customFormat="1">
      <c r="A1043" s="5"/>
      <c r="B1043" s="9"/>
      <c r="E1043" s="20"/>
      <c r="G1043" s="32"/>
      <c r="H1043" s="32"/>
    </row>
    <row r="1044" spans="1:8" s="2" customFormat="1">
      <c r="A1044" s="5"/>
      <c r="C1044" s="2" t="s">
        <v>2234</v>
      </c>
      <c r="D1044" s="2">
        <v>110000</v>
      </c>
      <c r="E1044" s="20" t="s">
        <v>494</v>
      </c>
      <c r="F1044" s="2">
        <v>710000</v>
      </c>
      <c r="G1044" s="32">
        <f>4312-1946</f>
        <v>2366</v>
      </c>
      <c r="H1044" s="32">
        <f>4312-1946</f>
        <v>2366</v>
      </c>
    </row>
    <row r="1045" spans="1:8" s="2" customFormat="1">
      <c r="A1045" s="5"/>
      <c r="C1045" s="8" t="s">
        <v>2235</v>
      </c>
      <c r="E1045" s="20"/>
      <c r="G1045" s="32">
        <f>G1044</f>
        <v>2366</v>
      </c>
      <c r="H1045" s="32">
        <f>H1044</f>
        <v>2366</v>
      </c>
    </row>
    <row r="1046" spans="1:8" s="2" customFormat="1">
      <c r="A1046" s="5"/>
      <c r="E1046" s="20"/>
      <c r="G1046" s="32"/>
      <c r="H1046" s="32"/>
    </row>
    <row r="1047" spans="1:8" s="2" customFormat="1">
      <c r="A1047" s="5" t="s">
        <v>494</v>
      </c>
      <c r="B1047" s="2" t="s">
        <v>3205</v>
      </c>
      <c r="E1047" s="20"/>
      <c r="G1047" s="32"/>
      <c r="H1047" s="32"/>
    </row>
    <row r="1048" spans="1:8" s="2" customFormat="1">
      <c r="A1048" s="5"/>
      <c r="E1048" s="20"/>
      <c r="G1048" s="32"/>
      <c r="H1048" s="32"/>
    </row>
    <row r="1049" spans="1:8" s="2" customFormat="1">
      <c r="A1049" s="5"/>
      <c r="C1049" s="2" t="s">
        <v>2234</v>
      </c>
      <c r="D1049" s="2">
        <v>110000</v>
      </c>
      <c r="E1049" s="20" t="s">
        <v>494</v>
      </c>
      <c r="F1049" s="2">
        <v>710000</v>
      </c>
      <c r="G1049" s="32">
        <f>17000-1946</f>
        <v>15054</v>
      </c>
      <c r="H1049" s="32">
        <f>17000-1946</f>
        <v>15054</v>
      </c>
    </row>
    <row r="1050" spans="1:8" s="2" customFormat="1">
      <c r="A1050" s="5"/>
      <c r="C1050" s="8" t="s">
        <v>2235</v>
      </c>
      <c r="E1050" s="20"/>
      <c r="G1050" s="32">
        <f>SUM(G1049)</f>
        <v>15054</v>
      </c>
      <c r="H1050" s="32">
        <f>SUM(H1049)</f>
        <v>15054</v>
      </c>
    </row>
    <row r="1051" spans="1:8" s="2" customFormat="1">
      <c r="A1051" s="5"/>
      <c r="E1051" s="20"/>
      <c r="G1051" s="32"/>
      <c r="H1051" s="32"/>
    </row>
    <row r="1052" spans="1:8" s="2" customFormat="1">
      <c r="A1052" s="5" t="s">
        <v>494</v>
      </c>
      <c r="B1052" s="2" t="s">
        <v>273</v>
      </c>
      <c r="G1052" s="32"/>
      <c r="H1052" s="32"/>
    </row>
    <row r="1053" spans="1:8" s="2" customFormat="1">
      <c r="A1053" s="5"/>
      <c r="G1053" s="32"/>
      <c r="H1053" s="32"/>
    </row>
    <row r="1054" spans="1:8" s="2" customFormat="1">
      <c r="A1054" s="6"/>
      <c r="C1054" s="2" t="s">
        <v>328</v>
      </c>
      <c r="D1054" s="2">
        <v>110000</v>
      </c>
      <c r="E1054" s="2">
        <v>610000</v>
      </c>
      <c r="F1054" s="19">
        <v>799999</v>
      </c>
      <c r="G1054" s="32">
        <v>468267</v>
      </c>
      <c r="H1054" s="32">
        <v>468267</v>
      </c>
    </row>
    <row r="1055" spans="1:8" s="2" customFormat="1">
      <c r="A1055" s="6"/>
      <c r="C1055" s="2" t="s">
        <v>2063</v>
      </c>
      <c r="D1055" s="2">
        <v>110000</v>
      </c>
      <c r="E1055" s="2">
        <v>610000</v>
      </c>
      <c r="F1055" s="19">
        <v>799999</v>
      </c>
      <c r="G1055" s="32">
        <v>499949</v>
      </c>
      <c r="H1055" s="32">
        <v>499949</v>
      </c>
    </row>
    <row r="1056" spans="1:8" s="2" customFormat="1">
      <c r="A1056" s="6"/>
      <c r="C1056" s="2" t="s">
        <v>2950</v>
      </c>
      <c r="D1056" s="2">
        <v>110000</v>
      </c>
      <c r="E1056" s="2">
        <v>610000</v>
      </c>
      <c r="F1056" s="19">
        <v>799999</v>
      </c>
      <c r="G1056" s="32">
        <v>0</v>
      </c>
      <c r="H1056" s="32">
        <v>0</v>
      </c>
    </row>
    <row r="1057" spans="1:8" s="2" customFormat="1">
      <c r="A1057" s="5"/>
      <c r="C1057" s="2" t="s">
        <v>2951</v>
      </c>
      <c r="D1057" s="2">
        <v>110000</v>
      </c>
      <c r="E1057" s="2">
        <v>610000</v>
      </c>
      <c r="F1057" s="19">
        <v>799999</v>
      </c>
      <c r="G1057" s="32">
        <f>G1054*0.08+G1055*0.18+G1056*0.21</f>
        <v>127452.18</v>
      </c>
      <c r="H1057" s="32">
        <f>H1054*0.08+H1055*0.18+H1056*0.21</f>
        <v>127452.18</v>
      </c>
    </row>
    <row r="1058" spans="1:8" s="2" customFormat="1">
      <c r="A1058" s="5"/>
      <c r="C1058" s="8" t="s">
        <v>1129</v>
      </c>
      <c r="G1058" s="32">
        <f>SUM(G1054:G1057)</f>
        <v>1095668.18</v>
      </c>
      <c r="H1058" s="32">
        <f>SUM(H1054:H1057)</f>
        <v>1095668.18</v>
      </c>
    </row>
    <row r="1059" spans="1:8" s="2" customFormat="1">
      <c r="A1059" s="5"/>
      <c r="C1059" s="8" t="s">
        <v>2235</v>
      </c>
      <c r="G1059" s="32">
        <f>G1058</f>
        <v>1095668.18</v>
      </c>
      <c r="H1059" s="32">
        <f>H1058</f>
        <v>1095668.18</v>
      </c>
    </row>
    <row r="1060" spans="1:8" s="2" customFormat="1">
      <c r="A1060" s="5"/>
      <c r="G1060" s="32"/>
      <c r="H1060" s="32"/>
    </row>
    <row r="1061" spans="1:8" s="2" customFormat="1">
      <c r="A1061" s="15">
        <v>610000</v>
      </c>
      <c r="B1061" s="2" t="s">
        <v>542</v>
      </c>
      <c r="D1061" s="26"/>
      <c r="G1061" s="32"/>
      <c r="H1061" s="32"/>
    </row>
    <row r="1062" spans="1:8" s="2" customFormat="1">
      <c r="A1062" s="15"/>
      <c r="D1062" s="26"/>
      <c r="G1062" s="32"/>
      <c r="H1062" s="32"/>
    </row>
    <row r="1063" spans="1:8" s="2" customFormat="1">
      <c r="A1063" s="15"/>
      <c r="C1063" s="2" t="s">
        <v>543</v>
      </c>
      <c r="D1063" s="26">
        <v>110000</v>
      </c>
      <c r="E1063" s="2">
        <v>610000</v>
      </c>
      <c r="F1063" s="2">
        <v>710000</v>
      </c>
      <c r="G1063" s="32">
        <v>107346</v>
      </c>
      <c r="H1063" s="32">
        <v>107346</v>
      </c>
    </row>
    <row r="1064" spans="1:8" s="2" customFormat="1">
      <c r="A1064" s="15"/>
      <c r="C1064" s="2" t="s">
        <v>1499</v>
      </c>
      <c r="D1064" s="26">
        <v>110000</v>
      </c>
      <c r="E1064" s="2">
        <v>610000</v>
      </c>
      <c r="F1064" s="2">
        <v>710000</v>
      </c>
      <c r="G1064" s="32">
        <v>25018</v>
      </c>
      <c r="H1064" s="32">
        <v>25018</v>
      </c>
    </row>
    <row r="1065" spans="1:8" s="2" customFormat="1">
      <c r="A1065" s="15"/>
      <c r="C1065" s="8" t="s">
        <v>2235</v>
      </c>
      <c r="D1065" s="26"/>
      <c r="G1065" s="32">
        <f>SUM(G1063:G1064)</f>
        <v>132364</v>
      </c>
      <c r="H1065" s="32">
        <f>SUM(H1063:H1064)</f>
        <v>132364</v>
      </c>
    </row>
    <row r="1066" spans="1:8" s="2" customFormat="1">
      <c r="A1066" s="15"/>
      <c r="D1066" s="26"/>
      <c r="G1066" s="32"/>
      <c r="H1066" s="32"/>
    </row>
    <row r="1067" spans="1:8" s="2" customFormat="1">
      <c r="A1067" s="6" t="s">
        <v>493</v>
      </c>
      <c r="B1067" s="2" t="s">
        <v>1128</v>
      </c>
      <c r="E1067" s="20"/>
      <c r="G1067" s="32"/>
      <c r="H1067" s="32"/>
    </row>
    <row r="1068" spans="1:8" s="2" customFormat="1">
      <c r="A1068" s="5"/>
      <c r="E1068" s="20"/>
      <c r="G1068" s="32"/>
      <c r="H1068" s="32"/>
    </row>
    <row r="1069" spans="1:8" s="2" customFormat="1">
      <c r="A1069" s="5" t="s">
        <v>2333</v>
      </c>
      <c r="B1069" s="2" t="s">
        <v>533</v>
      </c>
      <c r="C1069" s="2" t="s">
        <v>2807</v>
      </c>
      <c r="D1069" s="2">
        <v>110000</v>
      </c>
      <c r="E1069" s="20" t="s">
        <v>493</v>
      </c>
      <c r="F1069" s="2">
        <v>610210</v>
      </c>
      <c r="G1069" s="32">
        <f>89881+2607</f>
        <v>92488</v>
      </c>
      <c r="H1069" s="32">
        <f>89881+2607</f>
        <v>92488</v>
      </c>
    </row>
    <row r="1070" spans="1:8" s="2" customFormat="1">
      <c r="A1070" s="5" t="s">
        <v>2334</v>
      </c>
      <c r="B1070" s="2" t="s">
        <v>534</v>
      </c>
      <c r="C1070" s="2" t="s">
        <v>3191</v>
      </c>
      <c r="D1070" s="2">
        <v>110000</v>
      </c>
      <c r="E1070" s="20" t="s">
        <v>493</v>
      </c>
      <c r="F1070" s="2">
        <v>610110</v>
      </c>
      <c r="G1070" s="32">
        <f>73108+2193</f>
        <v>75301</v>
      </c>
      <c r="H1070" s="32">
        <f>73108+2193</f>
        <v>75301</v>
      </c>
    </row>
    <row r="1071" spans="1:8" s="2" customFormat="1">
      <c r="A1071" s="5" t="s">
        <v>2335</v>
      </c>
      <c r="B1071" s="2" t="s">
        <v>535</v>
      </c>
      <c r="C1071" s="2" t="s">
        <v>1019</v>
      </c>
      <c r="D1071" s="2">
        <v>110000</v>
      </c>
      <c r="E1071" s="20" t="s">
        <v>493</v>
      </c>
      <c r="F1071" s="2">
        <v>610210</v>
      </c>
      <c r="G1071" s="32">
        <f>26591+2858</f>
        <v>29449</v>
      </c>
      <c r="H1071" s="32">
        <f>26591+2858</f>
        <v>29449</v>
      </c>
    </row>
    <row r="1072" spans="1:8" s="2" customFormat="1">
      <c r="A1072" s="5" t="s">
        <v>2336</v>
      </c>
      <c r="C1072" s="2" t="s">
        <v>2170</v>
      </c>
      <c r="E1072" s="20"/>
      <c r="G1072" s="32">
        <v>24717</v>
      </c>
      <c r="H1072" s="32">
        <v>0</v>
      </c>
    </row>
    <row r="1073" spans="1:8" s="2" customFormat="1">
      <c r="A1073" s="5" t="s">
        <v>2337</v>
      </c>
      <c r="B1073" s="2" t="s">
        <v>1794</v>
      </c>
      <c r="C1073" s="2" t="s">
        <v>1795</v>
      </c>
      <c r="D1073" s="2">
        <v>110000</v>
      </c>
      <c r="E1073" s="20" t="s">
        <v>493</v>
      </c>
      <c r="F1073" s="2">
        <v>610110</v>
      </c>
      <c r="G1073" s="32">
        <f>4320+121</f>
        <v>4441</v>
      </c>
      <c r="H1073" s="32">
        <f>4320+121</f>
        <v>4441</v>
      </c>
    </row>
    <row r="1074" spans="1:8" s="2" customFormat="1">
      <c r="A1074" s="5" t="s">
        <v>2338</v>
      </c>
      <c r="C1074" s="2" t="s">
        <v>1773</v>
      </c>
      <c r="E1074" s="20"/>
      <c r="G1074" s="32">
        <v>23220</v>
      </c>
      <c r="H1074" s="32">
        <v>0</v>
      </c>
    </row>
    <row r="1075" spans="1:8" s="2" customFormat="1">
      <c r="A1075" s="5" t="s">
        <v>2339</v>
      </c>
      <c r="B1075" s="2" t="s">
        <v>1774</v>
      </c>
      <c r="C1075" s="2" t="s">
        <v>1775</v>
      </c>
      <c r="D1075" s="2">
        <v>110000</v>
      </c>
      <c r="E1075" s="20" t="s">
        <v>493</v>
      </c>
      <c r="F1075" s="2">
        <v>610410</v>
      </c>
      <c r="G1075" s="32">
        <f>22070+618</f>
        <v>22688</v>
      </c>
      <c r="H1075" s="32">
        <f>22070+618</f>
        <v>22688</v>
      </c>
    </row>
    <row r="1076" spans="1:8" s="2" customFormat="1">
      <c r="A1076" s="5"/>
      <c r="C1076" s="2" t="s">
        <v>1776</v>
      </c>
      <c r="D1076" s="2">
        <v>110000</v>
      </c>
      <c r="E1076" s="20" t="s">
        <v>3032</v>
      </c>
      <c r="F1076" s="2">
        <v>610410</v>
      </c>
      <c r="G1076" s="32">
        <f>4643+130</f>
        <v>4773</v>
      </c>
      <c r="H1076" s="32">
        <v>0</v>
      </c>
    </row>
    <row r="1077" spans="1:8" s="2" customFormat="1">
      <c r="A1077" s="5"/>
      <c r="E1077" s="5" t="s">
        <v>2880</v>
      </c>
      <c r="G1077" s="32">
        <f>G1075+G1076</f>
        <v>27461</v>
      </c>
      <c r="H1077" s="32">
        <f>H1075+H1076</f>
        <v>22688</v>
      </c>
    </row>
    <row r="1078" spans="1:8" s="2" customFormat="1">
      <c r="A1078" s="5" t="s">
        <v>2340</v>
      </c>
      <c r="B1078" s="2" t="s">
        <v>1808</v>
      </c>
      <c r="C1078" s="2" t="s">
        <v>1608</v>
      </c>
      <c r="D1078" s="2">
        <v>110000</v>
      </c>
      <c r="E1078" s="20" t="s">
        <v>493</v>
      </c>
      <c r="F1078" s="2">
        <v>610210</v>
      </c>
      <c r="G1078" s="32">
        <f>27997+4000</f>
        <v>31997</v>
      </c>
      <c r="H1078" s="32">
        <f>27997+4000</f>
        <v>31997</v>
      </c>
    </row>
    <row r="1079" spans="1:8" s="2" customFormat="1">
      <c r="A1079" s="5" t="s">
        <v>2341</v>
      </c>
      <c r="B1079" s="2" t="s">
        <v>1809</v>
      </c>
      <c r="C1079" s="2" t="s">
        <v>1456</v>
      </c>
      <c r="D1079" s="2">
        <v>110000</v>
      </c>
      <c r="E1079" s="20" t="s">
        <v>493</v>
      </c>
      <c r="F1079" s="2">
        <v>610410</v>
      </c>
      <c r="G1079" s="32">
        <f>27169+761</f>
        <v>27930</v>
      </c>
      <c r="H1079" s="32">
        <f>27169+761</f>
        <v>27930</v>
      </c>
    </row>
    <row r="1080" spans="1:8" s="2" customFormat="1">
      <c r="A1080" s="5"/>
      <c r="D1080" s="2">
        <v>160005</v>
      </c>
      <c r="E1080" s="20" t="s">
        <v>3035</v>
      </c>
      <c r="F1080" s="2">
        <v>610410</v>
      </c>
      <c r="G1080" s="32">
        <f>2174+61</f>
        <v>2235</v>
      </c>
      <c r="H1080" s="32"/>
    </row>
    <row r="1081" spans="1:8" s="2" customFormat="1">
      <c r="A1081" s="5"/>
      <c r="E1081" s="5" t="s">
        <v>2880</v>
      </c>
      <c r="G1081" s="32">
        <f>SUM(G1079:G1080)</f>
        <v>30165</v>
      </c>
      <c r="H1081" s="32">
        <f>SUM(H1079:H1080)</f>
        <v>27930</v>
      </c>
    </row>
    <row r="1082" spans="1:8" s="2" customFormat="1">
      <c r="A1082" s="5" t="s">
        <v>2342</v>
      </c>
      <c r="B1082" s="2" t="s">
        <v>1810</v>
      </c>
      <c r="C1082" s="2" t="s">
        <v>1613</v>
      </c>
      <c r="D1082" s="2">
        <v>110000</v>
      </c>
      <c r="E1082" s="20" t="s">
        <v>493</v>
      </c>
      <c r="F1082" s="2">
        <v>610410</v>
      </c>
      <c r="G1082" s="32">
        <f>20451+573</f>
        <v>21024</v>
      </c>
      <c r="H1082" s="32">
        <f>20451+573</f>
        <v>21024</v>
      </c>
    </row>
    <row r="1083" spans="1:8" s="2" customFormat="1">
      <c r="A1083" s="5" t="s">
        <v>2343</v>
      </c>
      <c r="B1083" s="2" t="s">
        <v>1811</v>
      </c>
      <c r="C1083" s="2" t="s">
        <v>1023</v>
      </c>
      <c r="D1083" s="2">
        <v>110000</v>
      </c>
      <c r="E1083" s="20" t="s">
        <v>493</v>
      </c>
      <c r="F1083" s="2">
        <v>610410</v>
      </c>
      <c r="G1083" s="32">
        <f>16832+471</f>
        <v>17303</v>
      </c>
      <c r="H1083" s="32">
        <f>16832+471</f>
        <v>17303</v>
      </c>
    </row>
    <row r="1084" spans="1:8" s="2" customFormat="1">
      <c r="A1084" s="5"/>
      <c r="C1084" s="2" t="s">
        <v>1611</v>
      </c>
      <c r="D1084" s="2">
        <v>110000</v>
      </c>
      <c r="E1084" s="20" t="s">
        <v>493</v>
      </c>
      <c r="F1084" s="2">
        <v>620000</v>
      </c>
      <c r="G1084" s="32"/>
      <c r="H1084" s="32"/>
    </row>
    <row r="1085" spans="1:8" s="2" customFormat="1">
      <c r="A1085" s="5"/>
      <c r="C1085" s="9" t="s">
        <v>2950</v>
      </c>
      <c r="D1085" s="2">
        <v>110000</v>
      </c>
      <c r="E1085" s="20" t="s">
        <v>493</v>
      </c>
      <c r="F1085" s="2">
        <v>610000</v>
      </c>
      <c r="G1085" s="37">
        <f>6078</f>
        <v>6078</v>
      </c>
      <c r="H1085" s="37">
        <f>6078</f>
        <v>6078</v>
      </c>
    </row>
    <row r="1086" spans="1:8" s="2" customFormat="1">
      <c r="A1086" s="5"/>
      <c r="C1086" s="9" t="s">
        <v>2951</v>
      </c>
      <c r="D1086" s="2">
        <v>110000</v>
      </c>
      <c r="E1086" s="20" t="s">
        <v>493</v>
      </c>
      <c r="F1086" s="2">
        <v>630000</v>
      </c>
      <c r="G1086" s="32">
        <f>(SUM(G1069:G1085)-G1077-G1081)*0.21</f>
        <v>80565.239999999991</v>
      </c>
      <c r="H1086" s="32">
        <f>(SUM(H1069:H1085)-H1077-H1081)*0.21</f>
        <v>69026.789999999994</v>
      </c>
    </row>
    <row r="1087" spans="1:8" s="2" customFormat="1">
      <c r="A1087" s="5"/>
      <c r="C1087" s="8" t="s">
        <v>1129</v>
      </c>
      <c r="E1087" s="20"/>
      <c r="G1087" s="32">
        <f>SUM(G1069:G1086)-G1077-G1081</f>
        <v>464209.24</v>
      </c>
      <c r="H1087" s="32">
        <f>SUM(H1069:H1086)-H1077-H1081</f>
        <v>397725.79</v>
      </c>
    </row>
    <row r="1088" spans="1:8" s="2" customFormat="1">
      <c r="A1088" s="5"/>
      <c r="C1088" s="9" t="s">
        <v>2234</v>
      </c>
      <c r="D1088" s="2">
        <v>110000</v>
      </c>
      <c r="E1088" s="20" t="s">
        <v>493</v>
      </c>
      <c r="F1088" s="2">
        <v>710000</v>
      </c>
      <c r="G1088" s="32">
        <v>59297</v>
      </c>
      <c r="H1088" s="32">
        <v>59297</v>
      </c>
    </row>
    <row r="1089" spans="1:8" s="2" customFormat="1">
      <c r="A1089" s="5"/>
      <c r="C1089" s="8" t="s">
        <v>2235</v>
      </c>
      <c r="E1089" s="20"/>
      <c r="G1089" s="32">
        <f>G1087+G1088</f>
        <v>523506.24</v>
      </c>
      <c r="H1089" s="32">
        <f>H1087+H1088</f>
        <v>457022.79</v>
      </c>
    </row>
    <row r="1090" spans="1:8" s="2" customFormat="1">
      <c r="A1090" s="5"/>
      <c r="E1090" s="20"/>
      <c r="G1090" s="32"/>
      <c r="H1090" s="32"/>
    </row>
    <row r="1091" spans="1:8" s="2" customFormat="1">
      <c r="A1091" s="5" t="s">
        <v>2514</v>
      </c>
      <c r="B1091" s="2" t="s">
        <v>516</v>
      </c>
      <c r="G1091" s="32"/>
      <c r="H1091" s="32"/>
    </row>
    <row r="1092" spans="1:8" s="2" customFormat="1">
      <c r="A1092" s="5"/>
      <c r="G1092" s="32"/>
      <c r="H1092" s="32"/>
    </row>
    <row r="1093" spans="1:8" s="2" customFormat="1">
      <c r="A1093" s="6" t="s">
        <v>1369</v>
      </c>
      <c r="B1093" s="2" t="s">
        <v>517</v>
      </c>
      <c r="C1093" s="2" t="s">
        <v>2490</v>
      </c>
      <c r="D1093" s="2">
        <v>110000</v>
      </c>
      <c r="E1093" s="2">
        <v>610210</v>
      </c>
      <c r="F1093" s="2">
        <v>610110</v>
      </c>
      <c r="G1093" s="32">
        <f>41756+1823</f>
        <v>43579</v>
      </c>
      <c r="H1093" s="32">
        <f>41756+1823</f>
        <v>43579</v>
      </c>
    </row>
    <row r="1094" spans="1:8" s="2" customFormat="1">
      <c r="A1094" s="6" t="s">
        <v>1370</v>
      </c>
      <c r="B1094" s="2" t="s">
        <v>2922</v>
      </c>
      <c r="C1094" s="2" t="s">
        <v>1029</v>
      </c>
      <c r="D1094" s="2">
        <v>110000</v>
      </c>
      <c r="E1094" s="2">
        <v>610210</v>
      </c>
      <c r="F1094" s="2">
        <v>610110</v>
      </c>
      <c r="G1094" s="32">
        <f>60000+1620</f>
        <v>61620</v>
      </c>
      <c r="H1094" s="32">
        <f>60000+1620</f>
        <v>61620</v>
      </c>
    </row>
    <row r="1095" spans="1:8" s="2" customFormat="1">
      <c r="A1095" s="6" t="s">
        <v>1371</v>
      </c>
      <c r="B1095" s="2" t="s">
        <v>518</v>
      </c>
      <c r="C1095" s="2" t="s">
        <v>2490</v>
      </c>
      <c r="D1095" s="2">
        <v>110000</v>
      </c>
      <c r="E1095" s="2">
        <v>610210</v>
      </c>
      <c r="F1095" s="2">
        <v>610110</v>
      </c>
      <c r="G1095" s="32">
        <f>45052+1238</f>
        <v>46290</v>
      </c>
      <c r="H1095" s="32">
        <f>45052+1238</f>
        <v>46290</v>
      </c>
    </row>
    <row r="1096" spans="1:8" s="2" customFormat="1">
      <c r="A1096" s="6" t="s">
        <v>2930</v>
      </c>
      <c r="B1096" s="2" t="s">
        <v>519</v>
      </c>
      <c r="C1096" s="2" t="s">
        <v>2490</v>
      </c>
      <c r="D1096" s="2">
        <v>110000</v>
      </c>
      <c r="E1096" s="2">
        <v>610210</v>
      </c>
      <c r="F1096" s="2">
        <v>610110</v>
      </c>
      <c r="G1096" s="32">
        <f>45742+1254</f>
        <v>46996</v>
      </c>
      <c r="H1096" s="32">
        <f>45742+1254</f>
        <v>46996</v>
      </c>
    </row>
    <row r="1097" spans="1:8" s="2" customFormat="1">
      <c r="A1097" s="6" t="s">
        <v>2931</v>
      </c>
      <c r="B1097" s="2" t="s">
        <v>520</v>
      </c>
      <c r="C1097" s="2" t="s">
        <v>2490</v>
      </c>
      <c r="D1097" s="2">
        <v>110000</v>
      </c>
      <c r="E1097" s="2">
        <v>610210</v>
      </c>
      <c r="F1097" s="2">
        <v>610110</v>
      </c>
      <c r="G1097" s="32">
        <f>44513+1225</f>
        <v>45738</v>
      </c>
      <c r="H1097" s="32">
        <f>44513+1225</f>
        <v>45738</v>
      </c>
    </row>
    <row r="1098" spans="1:8" s="2" customFormat="1">
      <c r="A1098" s="6" t="s">
        <v>2932</v>
      </c>
      <c r="B1098" s="2" t="s">
        <v>521</v>
      </c>
      <c r="C1098" s="2" t="s">
        <v>2490</v>
      </c>
      <c r="D1098" s="2">
        <v>110000</v>
      </c>
      <c r="E1098" s="2">
        <v>610210</v>
      </c>
      <c r="F1098" s="2">
        <v>610110</v>
      </c>
      <c r="G1098" s="32">
        <f>50268+1967</f>
        <v>52235</v>
      </c>
      <c r="H1098" s="32">
        <f>50268+1967</f>
        <v>52235</v>
      </c>
    </row>
    <row r="1099" spans="1:8" s="2" customFormat="1">
      <c r="A1099" s="6" t="s">
        <v>2933</v>
      </c>
      <c r="B1099" s="2" t="s">
        <v>522</v>
      </c>
      <c r="C1099" s="2" t="s">
        <v>2490</v>
      </c>
      <c r="D1099" s="2">
        <v>110000</v>
      </c>
      <c r="E1099" s="2">
        <v>610210</v>
      </c>
      <c r="F1099" s="2">
        <v>610110</v>
      </c>
      <c r="G1099" s="32">
        <f>42786+1186</f>
        <v>43972</v>
      </c>
      <c r="H1099" s="32">
        <f>42786+1186</f>
        <v>43972</v>
      </c>
    </row>
    <row r="1100" spans="1:8" s="2" customFormat="1">
      <c r="A1100" s="6" t="s">
        <v>2934</v>
      </c>
      <c r="B1100" s="2" t="s">
        <v>523</v>
      </c>
      <c r="C1100" s="2" t="s">
        <v>544</v>
      </c>
      <c r="D1100" s="2">
        <v>110000</v>
      </c>
      <c r="E1100" s="2">
        <v>610210</v>
      </c>
      <c r="F1100" s="2">
        <v>610110</v>
      </c>
      <c r="G1100" s="32">
        <f>39088+1001</f>
        <v>40089</v>
      </c>
      <c r="H1100" s="32">
        <f>39088+1001</f>
        <v>40089</v>
      </c>
    </row>
    <row r="1101" spans="1:8" s="2" customFormat="1">
      <c r="A1101" s="6" t="s">
        <v>2935</v>
      </c>
      <c r="B1101" s="2" t="s">
        <v>81</v>
      </c>
      <c r="C1101" s="2" t="s">
        <v>544</v>
      </c>
      <c r="D1101" s="2">
        <v>110000</v>
      </c>
      <c r="E1101" s="2">
        <v>610210</v>
      </c>
      <c r="F1101" s="2">
        <v>610110</v>
      </c>
      <c r="G1101" s="32">
        <f>49682+1145</f>
        <v>50827</v>
      </c>
      <c r="H1101" s="32">
        <f>49682+1145</f>
        <v>50827</v>
      </c>
    </row>
    <row r="1102" spans="1:8" s="2" customFormat="1">
      <c r="A1102" s="6" t="s">
        <v>3060</v>
      </c>
      <c r="B1102" s="2" t="s">
        <v>82</v>
      </c>
      <c r="C1102" s="2" t="s">
        <v>544</v>
      </c>
      <c r="D1102" s="2">
        <v>110000</v>
      </c>
      <c r="E1102" s="2">
        <v>610210</v>
      </c>
      <c r="F1102" s="2">
        <v>610110</v>
      </c>
      <c r="G1102" s="32">
        <f>40809+1040</f>
        <v>41849</v>
      </c>
      <c r="H1102" s="32">
        <f>40809+1040</f>
        <v>41849</v>
      </c>
    </row>
    <row r="1103" spans="1:8" s="2" customFormat="1">
      <c r="A1103" s="6" t="s">
        <v>3061</v>
      </c>
      <c r="B1103" s="2" t="s">
        <v>83</v>
      </c>
      <c r="C1103" s="2" t="s">
        <v>544</v>
      </c>
      <c r="D1103" s="2">
        <v>110000</v>
      </c>
      <c r="E1103" s="2">
        <v>610210</v>
      </c>
      <c r="F1103" s="2">
        <v>610110</v>
      </c>
      <c r="G1103" s="32">
        <f>41656+1260</f>
        <v>42916</v>
      </c>
      <c r="H1103" s="32">
        <f>41656+1260</f>
        <v>42916</v>
      </c>
    </row>
    <row r="1104" spans="1:8" s="2" customFormat="1">
      <c r="A1104" s="6" t="s">
        <v>3062</v>
      </c>
      <c r="B1104" s="2" t="s">
        <v>84</v>
      </c>
      <c r="C1104" s="2" t="s">
        <v>85</v>
      </c>
      <c r="D1104" s="2">
        <v>110000</v>
      </c>
      <c r="E1104" s="2">
        <v>610210</v>
      </c>
      <c r="F1104" s="2">
        <v>610110</v>
      </c>
      <c r="G1104" s="32">
        <f>47395+1292</f>
        <v>48687</v>
      </c>
      <c r="H1104" s="32">
        <f>47395+1292</f>
        <v>48687</v>
      </c>
    </row>
    <row r="1105" spans="1:8" s="2" customFormat="1">
      <c r="A1105" s="6" t="s">
        <v>3063</v>
      </c>
      <c r="B1105" s="2" t="s">
        <v>86</v>
      </c>
      <c r="C1105" s="2" t="s">
        <v>544</v>
      </c>
      <c r="D1105" s="2">
        <v>110000</v>
      </c>
      <c r="E1105" s="2">
        <v>610210</v>
      </c>
      <c r="F1105" s="2">
        <v>610110</v>
      </c>
      <c r="G1105" s="32">
        <f>36961+1000+1175</f>
        <v>39136</v>
      </c>
      <c r="H1105" s="32">
        <f>36961+1000+1175</f>
        <v>39136</v>
      </c>
    </row>
    <row r="1106" spans="1:8" s="2" customFormat="1">
      <c r="A1106" s="6" t="s">
        <v>3064</v>
      </c>
      <c r="B1106" s="2" t="s">
        <v>87</v>
      </c>
      <c r="C1106" s="2" t="s">
        <v>2170</v>
      </c>
      <c r="D1106" s="2">
        <v>110000</v>
      </c>
      <c r="E1106" s="2">
        <v>610210</v>
      </c>
      <c r="F1106" s="2">
        <v>610210</v>
      </c>
      <c r="G1106" s="32">
        <f>43227+1296</f>
        <v>44523</v>
      </c>
      <c r="H1106" s="32">
        <f>43227+1296</f>
        <v>44523</v>
      </c>
    </row>
    <row r="1107" spans="1:8" s="2" customFormat="1">
      <c r="A1107" s="6" t="s">
        <v>3065</v>
      </c>
      <c r="B1107" s="2" t="s">
        <v>88</v>
      </c>
      <c r="C1107" s="2" t="s">
        <v>1608</v>
      </c>
      <c r="D1107" s="2">
        <v>110000</v>
      </c>
      <c r="E1107" s="2">
        <v>610210</v>
      </c>
      <c r="F1107" s="2">
        <v>610210</v>
      </c>
      <c r="G1107" s="32">
        <f>25982+799</f>
        <v>26781</v>
      </c>
      <c r="H1107" s="32">
        <f>25982+799</f>
        <v>26781</v>
      </c>
    </row>
    <row r="1108" spans="1:8" s="2" customFormat="1">
      <c r="A1108" s="6" t="s">
        <v>3066</v>
      </c>
      <c r="B1108" s="2" t="s">
        <v>89</v>
      </c>
      <c r="C1108" s="2" t="s">
        <v>1023</v>
      </c>
      <c r="D1108" s="2">
        <v>110000</v>
      </c>
      <c r="E1108" s="2">
        <v>610210</v>
      </c>
      <c r="F1108" s="2">
        <v>610410</v>
      </c>
      <c r="G1108" s="32">
        <f>18713+524</f>
        <v>19237</v>
      </c>
      <c r="H1108" s="32">
        <f>18713+524</f>
        <v>19237</v>
      </c>
    </row>
    <row r="1109" spans="1:8" s="2" customFormat="1">
      <c r="A1109" s="6"/>
      <c r="C1109" s="2" t="s">
        <v>1611</v>
      </c>
      <c r="D1109" s="2">
        <v>110000</v>
      </c>
      <c r="E1109" s="2">
        <v>610210</v>
      </c>
      <c r="F1109" s="2">
        <v>620000</v>
      </c>
      <c r="G1109" s="32">
        <v>10000</v>
      </c>
      <c r="H1109" s="32">
        <v>10000</v>
      </c>
    </row>
    <row r="1110" spans="1:8" s="2" customFormat="1">
      <c r="A1110" s="6"/>
      <c r="C1110" s="2" t="s">
        <v>2950</v>
      </c>
      <c r="D1110" s="2">
        <v>110000</v>
      </c>
      <c r="E1110" s="2">
        <v>610210</v>
      </c>
      <c r="F1110" s="2">
        <v>610000</v>
      </c>
      <c r="G1110" s="36"/>
      <c r="H1110" s="36"/>
    </row>
    <row r="1111" spans="1:8" s="2" customFormat="1">
      <c r="A1111" s="5"/>
      <c r="C1111" s="2" t="s">
        <v>2951</v>
      </c>
      <c r="D1111" s="2">
        <v>110000</v>
      </c>
      <c r="E1111" s="2">
        <v>610210</v>
      </c>
      <c r="F1111" s="2">
        <v>630000</v>
      </c>
      <c r="G1111" s="32">
        <f>SUM(G1093:G1108)*0.2+G1109*0.08</f>
        <v>139695</v>
      </c>
      <c r="H1111" s="32">
        <f>SUM(H1093:H1108)*0.2+H1109*0.08</f>
        <v>139695</v>
      </c>
    </row>
    <row r="1112" spans="1:8" s="2" customFormat="1">
      <c r="A1112" s="5"/>
      <c r="C1112" s="8" t="s">
        <v>1129</v>
      </c>
      <c r="G1112" s="32">
        <f>SUM(G1093:G1111)</f>
        <v>844170</v>
      </c>
      <c r="H1112" s="32">
        <f>SUM(H1093:H1111)</f>
        <v>844170</v>
      </c>
    </row>
    <row r="1113" spans="1:8" s="2" customFormat="1">
      <c r="A1113" s="5"/>
      <c r="C1113" s="2" t="s">
        <v>2234</v>
      </c>
      <c r="D1113" s="2">
        <v>110000</v>
      </c>
      <c r="E1113" s="2">
        <v>610210</v>
      </c>
      <c r="F1113" s="2">
        <v>710000</v>
      </c>
      <c r="G1113" s="32">
        <v>30988</v>
      </c>
      <c r="H1113" s="32">
        <v>30988</v>
      </c>
    </row>
    <row r="1114" spans="1:8" s="2" customFormat="1">
      <c r="A1114" s="5"/>
      <c r="C1114" s="8" t="s">
        <v>2235</v>
      </c>
      <c r="G1114" s="32">
        <f>G1112+G1113</f>
        <v>875158</v>
      </c>
      <c r="H1114" s="32">
        <f>H1112+H1113</f>
        <v>875158</v>
      </c>
    </row>
    <row r="1115" spans="1:8" s="2" customFormat="1">
      <c r="A1115" s="5"/>
      <c r="G1115" s="32"/>
      <c r="H1115" s="32"/>
    </row>
    <row r="1116" spans="1:8" s="2" customFormat="1">
      <c r="A1116" s="5" t="s">
        <v>2515</v>
      </c>
      <c r="B1116" s="2" t="s">
        <v>2956</v>
      </c>
      <c r="G1116" s="32"/>
      <c r="H1116" s="32"/>
    </row>
    <row r="1117" spans="1:8" s="2" customFormat="1">
      <c r="A1117" s="5"/>
      <c r="G1117" s="32"/>
      <c r="H1117" s="32"/>
    </row>
    <row r="1118" spans="1:8" s="2" customFormat="1">
      <c r="A1118" s="5"/>
      <c r="C1118" s="2" t="s">
        <v>2234</v>
      </c>
      <c r="D1118" s="2">
        <v>110000</v>
      </c>
      <c r="E1118" s="2">
        <v>610211</v>
      </c>
      <c r="F1118" s="2">
        <v>710000</v>
      </c>
      <c r="G1118" s="32">
        <v>19872</v>
      </c>
      <c r="H1118" s="32">
        <v>19872</v>
      </c>
    </row>
    <row r="1119" spans="1:8" s="2" customFormat="1">
      <c r="A1119" s="5"/>
      <c r="C1119" s="8" t="s">
        <v>2235</v>
      </c>
      <c r="G1119" s="32">
        <f>G1118</f>
        <v>19872</v>
      </c>
      <c r="H1119" s="32">
        <f>H1118</f>
        <v>19872</v>
      </c>
    </row>
    <row r="1120" spans="1:8" s="2" customFormat="1">
      <c r="A1120" s="5"/>
      <c r="G1120" s="32"/>
      <c r="H1120" s="32"/>
    </row>
    <row r="1121" spans="1:8" s="2" customFormat="1">
      <c r="A1121" s="6" t="s">
        <v>2945</v>
      </c>
      <c r="B1121" s="2" t="s">
        <v>2202</v>
      </c>
      <c r="D1121" s="26"/>
      <c r="G1121" s="32"/>
      <c r="H1121" s="32"/>
    </row>
    <row r="1122" spans="1:8" s="2" customFormat="1">
      <c r="D1122" s="26"/>
      <c r="G1122" s="32"/>
      <c r="H1122" s="32"/>
    </row>
    <row r="1123" spans="1:8" s="2" customFormat="1">
      <c r="A1123" s="5" t="s">
        <v>2339</v>
      </c>
      <c r="B1123" s="2" t="s">
        <v>1774</v>
      </c>
      <c r="C1123" s="2" t="s">
        <v>1456</v>
      </c>
      <c r="D1123" s="26">
        <v>110000</v>
      </c>
      <c r="E1123" s="2">
        <v>610310</v>
      </c>
      <c r="F1123" s="2">
        <v>610410</v>
      </c>
      <c r="G1123" s="32">
        <f>4643+130</f>
        <v>4773</v>
      </c>
      <c r="H1123" s="32">
        <f>4643+130</f>
        <v>4773</v>
      </c>
    </row>
    <row r="1124" spans="1:8" s="2" customFormat="1">
      <c r="D1124" s="26">
        <v>110000</v>
      </c>
      <c r="E1124" s="2">
        <v>610100</v>
      </c>
      <c r="F1124" s="2">
        <v>610410</v>
      </c>
      <c r="G1124" s="32">
        <f>22070+618</f>
        <v>22688</v>
      </c>
      <c r="H1124" s="32"/>
    </row>
    <row r="1125" spans="1:8" s="2" customFormat="1">
      <c r="D1125" s="26"/>
      <c r="E1125" s="2" t="s">
        <v>2880</v>
      </c>
      <c r="G1125" s="32">
        <f>G1123+G1124</f>
        <v>27461</v>
      </c>
      <c r="H1125" s="32">
        <f>H1123+H1124</f>
        <v>4773</v>
      </c>
    </row>
    <row r="1126" spans="1:8" s="2" customFormat="1">
      <c r="A1126" s="5" t="s">
        <v>3077</v>
      </c>
      <c r="B1126" s="2" t="s">
        <v>100</v>
      </c>
      <c r="C1126" s="2" t="s">
        <v>2106</v>
      </c>
      <c r="D1126" s="26">
        <v>110000</v>
      </c>
      <c r="E1126" s="2">
        <v>610310</v>
      </c>
      <c r="F1126" s="2">
        <v>610110</v>
      </c>
      <c r="G1126" s="32">
        <v>9000</v>
      </c>
      <c r="H1126" s="32">
        <v>9000</v>
      </c>
    </row>
    <row r="1127" spans="1:8" s="2" customFormat="1">
      <c r="D1127" s="26">
        <v>110000</v>
      </c>
      <c r="E1127" s="2">
        <v>610710</v>
      </c>
      <c r="F1127" s="2">
        <v>610110</v>
      </c>
      <c r="G1127" s="32">
        <v>21117</v>
      </c>
      <c r="H1127" s="32"/>
    </row>
    <row r="1128" spans="1:8" s="2" customFormat="1">
      <c r="D1128" s="26"/>
      <c r="E1128" s="2" t="s">
        <v>2880</v>
      </c>
      <c r="G1128" s="32">
        <f>SUM(G1126:G1127)</f>
        <v>30117</v>
      </c>
      <c r="H1128" s="32">
        <f>SUM(H1126:H1127)</f>
        <v>9000</v>
      </c>
    </row>
    <row r="1129" spans="1:8" s="2" customFormat="1">
      <c r="A1129" s="5" t="s">
        <v>3075</v>
      </c>
      <c r="B1129" s="2" t="s">
        <v>127</v>
      </c>
      <c r="C1129" s="2" t="s">
        <v>2106</v>
      </c>
      <c r="D1129" s="26">
        <v>110000</v>
      </c>
      <c r="E1129" s="2">
        <v>610310</v>
      </c>
      <c r="F1129" s="2">
        <v>610110</v>
      </c>
      <c r="G1129" s="32">
        <v>5000</v>
      </c>
      <c r="H1129" s="32">
        <v>5000</v>
      </c>
    </row>
    <row r="1130" spans="1:8" s="2" customFormat="1">
      <c r="D1130" s="26">
        <v>110000</v>
      </c>
      <c r="E1130" s="2">
        <v>610710</v>
      </c>
      <c r="F1130" s="2">
        <v>610110</v>
      </c>
      <c r="G1130" s="32">
        <f>21107+591</f>
        <v>21698</v>
      </c>
      <c r="H1130" s="32"/>
    </row>
    <row r="1131" spans="1:8" s="2" customFormat="1">
      <c r="D1131" s="26"/>
      <c r="E1131" s="2" t="s">
        <v>2880</v>
      </c>
      <c r="G1131" s="32">
        <f>SUM(G1129:G1130)</f>
        <v>26698</v>
      </c>
      <c r="H1131" s="32">
        <f>SUM(H1129:H1130)</f>
        <v>5000</v>
      </c>
    </row>
    <row r="1132" spans="1:8" s="2" customFormat="1">
      <c r="A1132" s="5" t="s">
        <v>2203</v>
      </c>
      <c r="C1132" s="2" t="s">
        <v>1611</v>
      </c>
      <c r="D1132" s="26">
        <v>110000</v>
      </c>
      <c r="E1132" s="2">
        <v>610310</v>
      </c>
      <c r="F1132" s="2">
        <v>620000</v>
      </c>
      <c r="G1132" s="32">
        <v>20000</v>
      </c>
      <c r="H1132" s="32">
        <v>20000</v>
      </c>
    </row>
    <row r="1133" spans="1:8" s="2" customFormat="1">
      <c r="A1133" s="5" t="s">
        <v>2204</v>
      </c>
      <c r="C1133" s="2" t="s">
        <v>1563</v>
      </c>
      <c r="D1133" s="26">
        <v>110000</v>
      </c>
      <c r="E1133" s="2">
        <v>610310</v>
      </c>
      <c r="F1133" s="2">
        <v>610300</v>
      </c>
      <c r="G1133" s="32">
        <v>70000</v>
      </c>
      <c r="H1133" s="32">
        <v>70000</v>
      </c>
    </row>
    <row r="1134" spans="1:8" s="2" customFormat="1">
      <c r="A1134" s="5" t="s">
        <v>2205</v>
      </c>
      <c r="C1134" s="2" t="s">
        <v>2950</v>
      </c>
      <c r="D1134" s="26">
        <v>110000</v>
      </c>
      <c r="E1134" s="2">
        <v>610310</v>
      </c>
      <c r="F1134" s="2">
        <v>610000</v>
      </c>
      <c r="G1134" s="32"/>
      <c r="H1134" s="32"/>
    </row>
    <row r="1135" spans="1:8" s="2" customFormat="1">
      <c r="C1135" s="2" t="s">
        <v>2951</v>
      </c>
      <c r="D1135" s="26">
        <v>110000</v>
      </c>
      <c r="E1135" s="2">
        <v>610310</v>
      </c>
      <c r="F1135" s="2">
        <v>630000</v>
      </c>
      <c r="G1135" s="32">
        <f>(SUM(G1123:G1134)-G1125-G1128-G1131)*0.16</f>
        <v>27884.16</v>
      </c>
      <c r="H1135" s="32">
        <f>(SUM(H1123:H1134)-H1125-H1128-H1131)*0.16</f>
        <v>17403.68</v>
      </c>
    </row>
    <row r="1136" spans="1:8" s="2" customFormat="1">
      <c r="C1136" s="8" t="s">
        <v>1129</v>
      </c>
      <c r="D1136" s="26"/>
      <c r="G1136" s="32">
        <f>SUM(G1123:G1135)-G1125-G1128-G1131</f>
        <v>202160.15999999997</v>
      </c>
      <c r="H1136" s="32">
        <f>SUM(H1123:H1135)-H1125-H1128-H1131</f>
        <v>126176.68</v>
      </c>
    </row>
    <row r="1137" spans="1:8" s="2" customFormat="1">
      <c r="C1137" s="2" t="s">
        <v>2234</v>
      </c>
      <c r="D1137" s="26">
        <v>110000</v>
      </c>
      <c r="E1137" s="2">
        <v>610310</v>
      </c>
      <c r="F1137" s="2">
        <v>710000</v>
      </c>
      <c r="G1137" s="32">
        <v>24000</v>
      </c>
      <c r="H1137" s="32">
        <v>24000</v>
      </c>
    </row>
    <row r="1138" spans="1:8" s="2" customFormat="1">
      <c r="C1138" s="2" t="s">
        <v>2147</v>
      </c>
      <c r="D1138" s="26">
        <v>110000</v>
      </c>
      <c r="E1138" s="2">
        <v>610310</v>
      </c>
      <c r="F1138" s="2">
        <v>790700</v>
      </c>
      <c r="G1138" s="32">
        <f>H1138</f>
        <v>15017.668</v>
      </c>
      <c r="H1138" s="32">
        <f>(H1136+H1137)*0.1</f>
        <v>15017.668</v>
      </c>
    </row>
    <row r="1139" spans="1:8" s="2" customFormat="1">
      <c r="C1139" s="8" t="s">
        <v>2235</v>
      </c>
      <c r="D1139" s="26"/>
      <c r="G1139" s="32">
        <f>SUM(G1136:G1138)</f>
        <v>241177.82799999998</v>
      </c>
      <c r="H1139" s="32">
        <f>SUM(H1136:H1138)</f>
        <v>165194.348</v>
      </c>
    </row>
    <row r="1140" spans="1:8" s="2" customFormat="1">
      <c r="D1140" s="26"/>
      <c r="G1140" s="32"/>
      <c r="H1140" s="32"/>
    </row>
    <row r="1141" spans="1:8" s="2" customFormat="1">
      <c r="A1141" s="5" t="s">
        <v>3033</v>
      </c>
      <c r="B1141" s="2" t="s">
        <v>2974</v>
      </c>
      <c r="G1141" s="32"/>
      <c r="H1141" s="32"/>
    </row>
    <row r="1142" spans="1:8" s="2" customFormat="1">
      <c r="A1142" s="5"/>
      <c r="G1142" s="32"/>
      <c r="H1142" s="32"/>
    </row>
    <row r="1143" spans="1:8" s="2" customFormat="1">
      <c r="A1143" s="6" t="s">
        <v>3102</v>
      </c>
      <c r="B1143" s="2" t="s">
        <v>2975</v>
      </c>
      <c r="C1143" s="2" t="s">
        <v>1029</v>
      </c>
      <c r="D1143" s="2">
        <v>110000</v>
      </c>
      <c r="E1143" s="2">
        <v>610410</v>
      </c>
      <c r="F1143" s="2">
        <v>610110</v>
      </c>
      <c r="G1143" s="32">
        <f>61893+1671</f>
        <v>63564</v>
      </c>
      <c r="H1143" s="32">
        <f>61893+1671</f>
        <v>63564</v>
      </c>
    </row>
    <row r="1144" spans="1:8" s="2" customFormat="1">
      <c r="A1144" s="6" t="s">
        <v>2369</v>
      </c>
      <c r="B1144" s="2" t="s">
        <v>547</v>
      </c>
      <c r="C1144" s="2" t="s">
        <v>1142</v>
      </c>
      <c r="D1144" s="2">
        <v>110000</v>
      </c>
      <c r="E1144" s="2">
        <v>610410</v>
      </c>
      <c r="F1144" s="2">
        <v>610110</v>
      </c>
      <c r="G1144" s="32">
        <f>26320+495</f>
        <v>26815</v>
      </c>
      <c r="H1144" s="32">
        <f>26320+495</f>
        <v>26815</v>
      </c>
    </row>
    <row r="1145" spans="1:8" s="2" customFormat="1">
      <c r="A1145" s="6"/>
      <c r="D1145" s="2">
        <v>110000</v>
      </c>
      <c r="E1145" s="2">
        <v>720000</v>
      </c>
      <c r="F1145" s="2">
        <v>610110</v>
      </c>
      <c r="G1145" s="32">
        <f>39468+1184</f>
        <v>40652</v>
      </c>
      <c r="H1145" s="32"/>
    </row>
    <row r="1146" spans="1:8" s="2" customFormat="1">
      <c r="A1146" s="6"/>
      <c r="E1146" s="2" t="s">
        <v>2880</v>
      </c>
      <c r="G1146" s="32">
        <f>SUM(G1144:G1145)</f>
        <v>67467</v>
      </c>
      <c r="H1146" s="32">
        <f>SUM(H1144:H1145)</f>
        <v>26815</v>
      </c>
    </row>
    <row r="1147" spans="1:8" s="2" customFormat="1">
      <c r="A1147" s="6" t="s">
        <v>3103</v>
      </c>
      <c r="B1147" s="2" t="s">
        <v>2976</v>
      </c>
      <c r="C1147" s="2" t="s">
        <v>2490</v>
      </c>
      <c r="D1147" s="2">
        <v>110000</v>
      </c>
      <c r="E1147" s="2">
        <v>610410</v>
      </c>
      <c r="F1147" s="2">
        <v>610110</v>
      </c>
      <c r="G1147" s="32">
        <f>45499+1528</f>
        <v>47027</v>
      </c>
      <c r="H1147" s="32">
        <f>45499+1528</f>
        <v>47027</v>
      </c>
    </row>
    <row r="1148" spans="1:8" s="2" customFormat="1">
      <c r="A1148" s="6" t="s">
        <v>3104</v>
      </c>
      <c r="B1148" s="2" t="s">
        <v>2972</v>
      </c>
      <c r="C1148" s="2" t="s">
        <v>2490</v>
      </c>
      <c r="D1148" s="2">
        <v>110000</v>
      </c>
      <c r="E1148" s="2">
        <v>610410</v>
      </c>
      <c r="F1148" s="2">
        <v>610110</v>
      </c>
      <c r="G1148" s="32">
        <f>53944+1611</f>
        <v>55555</v>
      </c>
      <c r="H1148" s="32">
        <f>53944+1611</f>
        <v>55555</v>
      </c>
    </row>
    <row r="1149" spans="1:8" s="2" customFormat="1">
      <c r="A1149" s="6" t="s">
        <v>3105</v>
      </c>
      <c r="B1149" s="2" t="s">
        <v>1824</v>
      </c>
      <c r="C1149" s="2" t="s">
        <v>2490</v>
      </c>
      <c r="D1149" s="2">
        <v>110000</v>
      </c>
      <c r="E1149" s="2">
        <v>610410</v>
      </c>
      <c r="F1149" s="2">
        <v>610110</v>
      </c>
      <c r="G1149" s="32">
        <f>51284+1585</f>
        <v>52869</v>
      </c>
      <c r="H1149" s="32">
        <f>51284+1585</f>
        <v>52869</v>
      </c>
    </row>
    <row r="1150" spans="1:8" s="2" customFormat="1">
      <c r="A1150" s="6" t="s">
        <v>3106</v>
      </c>
      <c r="B1150" s="2" t="s">
        <v>1825</v>
      </c>
      <c r="C1150" s="2" t="s">
        <v>2490</v>
      </c>
      <c r="D1150" s="2">
        <v>110000</v>
      </c>
      <c r="E1150" s="2">
        <v>610410</v>
      </c>
      <c r="F1150" s="2">
        <v>610110</v>
      </c>
      <c r="G1150" s="32">
        <f>51538+1588</f>
        <v>53126</v>
      </c>
      <c r="H1150" s="32">
        <f>51538+1588</f>
        <v>53126</v>
      </c>
    </row>
    <row r="1151" spans="1:8" s="2" customFormat="1">
      <c r="A1151" s="6" t="s">
        <v>3107</v>
      </c>
      <c r="B1151" s="2" t="s">
        <v>1826</v>
      </c>
      <c r="C1151" s="2" t="s">
        <v>2490</v>
      </c>
      <c r="D1151" s="2">
        <v>110000</v>
      </c>
      <c r="E1151" s="2">
        <v>610410</v>
      </c>
      <c r="F1151" s="2">
        <v>610110</v>
      </c>
      <c r="G1151" s="32">
        <f>56267+1634</f>
        <v>57901</v>
      </c>
      <c r="H1151" s="32">
        <f>56267+1634</f>
        <v>57901</v>
      </c>
    </row>
    <row r="1152" spans="1:8" s="2" customFormat="1">
      <c r="A1152" s="6" t="s">
        <v>3108</v>
      </c>
      <c r="B1152" s="2" t="s">
        <v>1827</v>
      </c>
      <c r="C1152" s="2" t="s">
        <v>2490</v>
      </c>
      <c r="D1152" s="2">
        <v>110000</v>
      </c>
      <c r="E1152" s="2">
        <v>610410</v>
      </c>
      <c r="F1152" s="2">
        <v>610110</v>
      </c>
      <c r="G1152" s="32">
        <f>48081+1249</f>
        <v>49330</v>
      </c>
      <c r="H1152" s="32">
        <f>48081+1249</f>
        <v>49330</v>
      </c>
    </row>
    <row r="1153" spans="1:8" s="2" customFormat="1">
      <c r="A1153" s="6" t="s">
        <v>3109</v>
      </c>
      <c r="B1153" s="2" t="s">
        <v>1828</v>
      </c>
      <c r="C1153" s="2" t="s">
        <v>2490</v>
      </c>
      <c r="D1153" s="2">
        <v>110000</v>
      </c>
      <c r="E1153" s="2">
        <v>610410</v>
      </c>
      <c r="F1153" s="2">
        <v>610110</v>
      </c>
      <c r="G1153" s="32">
        <f>56160+1633</f>
        <v>57793</v>
      </c>
      <c r="H1153" s="32">
        <f>56160+1633</f>
        <v>57793</v>
      </c>
    </row>
    <row r="1154" spans="1:8" s="2" customFormat="1">
      <c r="A1154" s="6" t="s">
        <v>3110</v>
      </c>
      <c r="B1154" s="2" t="s">
        <v>1829</v>
      </c>
      <c r="C1154" s="2" t="s">
        <v>2490</v>
      </c>
      <c r="D1154" s="2">
        <v>110000</v>
      </c>
      <c r="E1154" s="2">
        <v>610410</v>
      </c>
      <c r="F1154" s="2">
        <v>610110</v>
      </c>
      <c r="G1154" s="32">
        <f>46663+1235</f>
        <v>47898</v>
      </c>
      <c r="H1154" s="32">
        <f>46663+1235</f>
        <v>47898</v>
      </c>
    </row>
    <row r="1155" spans="1:8" s="2" customFormat="1">
      <c r="A1155" s="6" t="s">
        <v>3111</v>
      </c>
      <c r="B1155" s="2" t="s">
        <v>1830</v>
      </c>
      <c r="C1155" s="2" t="s">
        <v>2490</v>
      </c>
      <c r="D1155" s="2">
        <v>110000</v>
      </c>
      <c r="E1155" s="2">
        <v>610410</v>
      </c>
      <c r="F1155" s="2">
        <v>610110</v>
      </c>
      <c r="G1155" s="32">
        <f>47990+1553</f>
        <v>49543</v>
      </c>
      <c r="H1155" s="32">
        <f>47990+1553</f>
        <v>49543</v>
      </c>
    </row>
    <row r="1156" spans="1:8" s="2" customFormat="1">
      <c r="A1156" s="6" t="s">
        <v>3112</v>
      </c>
      <c r="B1156" s="2" t="s">
        <v>2977</v>
      </c>
      <c r="C1156" s="2" t="s">
        <v>2490</v>
      </c>
      <c r="D1156" s="2">
        <v>110000</v>
      </c>
      <c r="E1156" s="2">
        <v>610410</v>
      </c>
      <c r="F1156" s="2">
        <v>610110</v>
      </c>
      <c r="G1156" s="32">
        <f>50012+1573</f>
        <v>51585</v>
      </c>
      <c r="H1156" s="32">
        <f>50012+1573</f>
        <v>51585</v>
      </c>
    </row>
    <row r="1157" spans="1:8" s="2" customFormat="1">
      <c r="A1157" s="6" t="s">
        <v>3113</v>
      </c>
      <c r="B1157" s="2" t="s">
        <v>2978</v>
      </c>
      <c r="C1157" s="2" t="s">
        <v>2490</v>
      </c>
      <c r="D1157" s="2">
        <v>110000</v>
      </c>
      <c r="E1157" s="2">
        <v>610410</v>
      </c>
      <c r="F1157" s="2">
        <v>610110</v>
      </c>
      <c r="G1157" s="32">
        <f>48619+1767</f>
        <v>50386</v>
      </c>
      <c r="H1157" s="32">
        <f>48619+1767</f>
        <v>50386</v>
      </c>
    </row>
    <row r="1158" spans="1:8" s="2" customFormat="1">
      <c r="A1158" s="6" t="s">
        <v>3114</v>
      </c>
      <c r="B1158" s="2" t="s">
        <v>2979</v>
      </c>
      <c r="C1158" s="2" t="s">
        <v>2490</v>
      </c>
      <c r="D1158" s="2">
        <v>110000</v>
      </c>
      <c r="E1158" s="2">
        <v>610410</v>
      </c>
      <c r="F1158" s="2">
        <v>610110</v>
      </c>
      <c r="G1158" s="32">
        <f>51705+1285</f>
        <v>52990</v>
      </c>
      <c r="H1158" s="32">
        <f>51705+1285</f>
        <v>52990</v>
      </c>
    </row>
    <row r="1159" spans="1:8" s="2" customFormat="1">
      <c r="A1159" s="6" t="s">
        <v>3115</v>
      </c>
      <c r="B1159" s="2" t="s">
        <v>1509</v>
      </c>
      <c r="C1159" s="2" t="s">
        <v>544</v>
      </c>
      <c r="D1159" s="2">
        <v>110000</v>
      </c>
      <c r="E1159" s="2">
        <v>610410</v>
      </c>
      <c r="F1159" s="2">
        <v>610110</v>
      </c>
      <c r="G1159" s="32">
        <f>42488+1194</f>
        <v>43682</v>
      </c>
      <c r="H1159" s="32">
        <f>42488+1194</f>
        <v>43682</v>
      </c>
    </row>
    <row r="1160" spans="1:8" s="2" customFormat="1">
      <c r="A1160" s="6" t="s">
        <v>3116</v>
      </c>
      <c r="B1160" s="2" t="s">
        <v>1510</v>
      </c>
      <c r="C1160" s="2" t="s">
        <v>544</v>
      </c>
      <c r="D1160" s="2">
        <v>110000</v>
      </c>
      <c r="E1160" s="2">
        <v>610410</v>
      </c>
      <c r="F1160" s="2">
        <v>610110</v>
      </c>
      <c r="G1160" s="32">
        <f>43961+1209</f>
        <v>45170</v>
      </c>
      <c r="H1160" s="32">
        <f>43961+1209</f>
        <v>45170</v>
      </c>
    </row>
    <row r="1161" spans="1:8" s="2" customFormat="1">
      <c r="A1161" s="6" t="s">
        <v>3117</v>
      </c>
      <c r="B1161" s="2" t="s">
        <v>1513</v>
      </c>
      <c r="C1161" s="2" t="s">
        <v>544</v>
      </c>
      <c r="D1161" s="2">
        <v>110000</v>
      </c>
      <c r="E1161" s="2">
        <v>610410</v>
      </c>
      <c r="F1161" s="2">
        <v>610110</v>
      </c>
      <c r="G1161" s="32">
        <f>42109+886</f>
        <v>42995</v>
      </c>
      <c r="H1161" s="32">
        <f>42109+886</f>
        <v>42995</v>
      </c>
    </row>
    <row r="1162" spans="1:8" s="2" customFormat="1">
      <c r="A1162" s="6" t="s">
        <v>3118</v>
      </c>
      <c r="B1162" s="2" t="s">
        <v>160</v>
      </c>
      <c r="C1162" s="2" t="s">
        <v>2941</v>
      </c>
      <c r="D1162" s="2">
        <v>110000</v>
      </c>
      <c r="E1162" s="2">
        <v>610410</v>
      </c>
      <c r="F1162" s="2">
        <v>610410</v>
      </c>
      <c r="G1162" s="32">
        <f>17694+495</f>
        <v>18189</v>
      </c>
      <c r="H1162" s="32">
        <f>17694+495</f>
        <v>18189</v>
      </c>
    </row>
    <row r="1163" spans="1:8" s="2" customFormat="1">
      <c r="A1163" s="6" t="s">
        <v>3119</v>
      </c>
      <c r="B1163" s="2" t="s">
        <v>1514</v>
      </c>
      <c r="C1163" s="2" t="s">
        <v>2106</v>
      </c>
      <c r="D1163" s="2">
        <v>110000</v>
      </c>
      <c r="E1163" s="2">
        <v>610410</v>
      </c>
      <c r="F1163" s="2">
        <v>610110</v>
      </c>
      <c r="G1163" s="32">
        <f>34753+814</f>
        <v>35567</v>
      </c>
      <c r="H1163" s="32">
        <f>34753+814</f>
        <v>35567</v>
      </c>
    </row>
    <row r="1164" spans="1:8" s="2" customFormat="1">
      <c r="A1164" s="6"/>
      <c r="C1164" s="2" t="s">
        <v>1611</v>
      </c>
      <c r="D1164" s="2">
        <v>110000</v>
      </c>
      <c r="E1164" s="2">
        <v>610410</v>
      </c>
      <c r="F1164" s="2">
        <v>620000</v>
      </c>
      <c r="G1164" s="32"/>
      <c r="H1164" s="32"/>
    </row>
    <row r="1165" spans="1:8" s="2" customFormat="1">
      <c r="A1165" s="5" t="s">
        <v>3033</v>
      </c>
      <c r="B1165" s="2" t="s">
        <v>2974</v>
      </c>
      <c r="G1165" s="32"/>
      <c r="H1165" s="32"/>
    </row>
    <row r="1166" spans="1:8" s="2" customFormat="1">
      <c r="A1166" s="6"/>
      <c r="G1166" s="32"/>
      <c r="H1166" s="32"/>
    </row>
    <row r="1167" spans="1:8" s="2" customFormat="1">
      <c r="A1167" s="6"/>
      <c r="C1167" s="2" t="s">
        <v>2950</v>
      </c>
      <c r="D1167" s="2">
        <v>110000</v>
      </c>
      <c r="E1167" s="2">
        <v>610410</v>
      </c>
      <c r="F1167" s="2">
        <v>610000</v>
      </c>
      <c r="G1167" s="36"/>
      <c r="H1167" s="36"/>
    </row>
    <row r="1168" spans="1:8" s="2" customFormat="1">
      <c r="A1168" s="6"/>
      <c r="C1168" s="2" t="s">
        <v>2951</v>
      </c>
      <c r="D1168" s="2">
        <v>110000</v>
      </c>
      <c r="E1168" s="2">
        <v>610410</v>
      </c>
      <c r="F1168" s="2">
        <v>630000</v>
      </c>
      <c r="G1168" s="32">
        <f>(SUM(G1143:G1167)-G1146)*0.22</f>
        <v>207380.14</v>
      </c>
      <c r="H1168" s="32">
        <f>(SUM(H1143:H1167)-H1146)*0.22</f>
        <v>198436.7</v>
      </c>
    </row>
    <row r="1169" spans="1:8" s="2" customFormat="1">
      <c r="A1169" s="6"/>
      <c r="C1169" s="8" t="s">
        <v>1129</v>
      </c>
      <c r="G1169" s="32">
        <f>SUM(G1143:G1168)-G1146</f>
        <v>1150017.1400000001</v>
      </c>
      <c r="H1169" s="32">
        <f>SUM(H1143:H1168)-H1146</f>
        <v>1100421.7</v>
      </c>
    </row>
    <row r="1170" spans="1:8" s="2" customFormat="1">
      <c r="A1170" s="6"/>
      <c r="C1170" s="2" t="s">
        <v>2234</v>
      </c>
      <c r="D1170" s="2">
        <v>110000</v>
      </c>
      <c r="E1170" s="2">
        <v>610410</v>
      </c>
      <c r="F1170" s="2">
        <v>710000</v>
      </c>
      <c r="G1170" s="32">
        <v>21878</v>
      </c>
      <c r="H1170" s="32">
        <v>21878</v>
      </c>
    </row>
    <row r="1171" spans="1:8" s="2" customFormat="1">
      <c r="A1171" s="6"/>
      <c r="C1171" s="8" t="s">
        <v>2235</v>
      </c>
      <c r="G1171" s="32">
        <f>G1169+G1170</f>
        <v>1171895.1400000001</v>
      </c>
      <c r="H1171" s="32">
        <f>H1169+H1170</f>
        <v>1122299.7</v>
      </c>
    </row>
    <row r="1172" spans="1:8" s="2" customFormat="1">
      <c r="A1172" s="6"/>
      <c r="C1172" s="8"/>
      <c r="G1172" s="32"/>
      <c r="H1172" s="32"/>
    </row>
    <row r="1173" spans="1:8" s="2" customFormat="1">
      <c r="A1173" s="6"/>
      <c r="C1173" s="8"/>
      <c r="G1173" s="32"/>
      <c r="H1173" s="32"/>
    </row>
    <row r="1174" spans="1:8" s="2" customFormat="1">
      <c r="A1174" s="5" t="s">
        <v>3033</v>
      </c>
      <c r="B1174" s="2" t="s">
        <v>240</v>
      </c>
      <c r="G1174" s="32"/>
      <c r="H1174" s="32"/>
    </row>
    <row r="1175" spans="1:8" s="2" customFormat="1">
      <c r="A1175" s="5"/>
      <c r="G1175" s="32"/>
      <c r="H1175" s="32"/>
    </row>
    <row r="1176" spans="1:8" s="2" customFormat="1">
      <c r="A1176" s="5"/>
      <c r="C1176" s="2" t="s">
        <v>2234</v>
      </c>
      <c r="D1176" s="2">
        <v>110000</v>
      </c>
      <c r="E1176" s="2">
        <v>610410</v>
      </c>
      <c r="F1176" s="2">
        <v>710000</v>
      </c>
      <c r="G1176" s="32">
        <v>17000</v>
      </c>
      <c r="H1176" s="32">
        <v>17000</v>
      </c>
    </row>
    <row r="1177" spans="1:8" s="2" customFormat="1">
      <c r="A1177" s="5"/>
      <c r="C1177" s="8" t="s">
        <v>2235</v>
      </c>
      <c r="G1177" s="32">
        <f>G1176</f>
        <v>17000</v>
      </c>
      <c r="H1177" s="32">
        <f>H1176</f>
        <v>17000</v>
      </c>
    </row>
    <row r="1178" spans="1:8" s="2" customFormat="1">
      <c r="A1178" s="5"/>
      <c r="G1178" s="32"/>
      <c r="H1178" s="32"/>
    </row>
    <row r="1179" spans="1:8" s="2" customFormat="1">
      <c r="A1179" s="5" t="s">
        <v>3033</v>
      </c>
      <c r="B1179" s="2" t="s">
        <v>1786</v>
      </c>
      <c r="G1179" s="32"/>
      <c r="H1179" s="32"/>
    </row>
    <row r="1180" spans="1:8" s="2" customFormat="1">
      <c r="A1180" s="5"/>
      <c r="G1180" s="32"/>
      <c r="H1180" s="32"/>
    </row>
    <row r="1181" spans="1:8" s="2" customFormat="1">
      <c r="A1181" s="5"/>
      <c r="C1181" s="2" t="s">
        <v>2234</v>
      </c>
      <c r="D1181" s="2">
        <v>110000</v>
      </c>
      <c r="E1181" s="2">
        <v>610410</v>
      </c>
      <c r="F1181" s="2">
        <v>710000</v>
      </c>
      <c r="G1181" s="32">
        <v>213</v>
      </c>
      <c r="H1181" s="32">
        <v>213</v>
      </c>
    </row>
    <row r="1182" spans="1:8" s="2" customFormat="1">
      <c r="A1182" s="5"/>
      <c r="C1182" s="8" t="s">
        <v>2235</v>
      </c>
      <c r="G1182" s="32">
        <v>213</v>
      </c>
      <c r="H1182" s="32">
        <v>213</v>
      </c>
    </row>
    <row r="1183" spans="1:8" s="2" customFormat="1">
      <c r="A1183" s="5"/>
      <c r="G1183" s="32"/>
      <c r="H1183" s="32"/>
    </row>
    <row r="1184" spans="1:8" s="2" customFormat="1">
      <c r="A1184" s="5" t="s">
        <v>2523</v>
      </c>
      <c r="B1184" s="2" t="s">
        <v>2888</v>
      </c>
      <c r="G1184" s="32"/>
      <c r="H1184" s="32"/>
    </row>
    <row r="1185" spans="1:8" s="2" customFormat="1">
      <c r="A1185" s="5"/>
      <c r="G1185" s="32"/>
      <c r="H1185" s="32"/>
    </row>
    <row r="1186" spans="1:8" s="2" customFormat="1">
      <c r="A1186" s="5"/>
      <c r="C1186" s="2" t="s">
        <v>2234</v>
      </c>
      <c r="D1186" s="2">
        <v>110000</v>
      </c>
      <c r="E1186" s="2">
        <v>610411</v>
      </c>
      <c r="F1186" s="2">
        <v>710000</v>
      </c>
      <c r="G1186" s="32">
        <v>564</v>
      </c>
      <c r="H1186" s="32">
        <v>564</v>
      </c>
    </row>
    <row r="1187" spans="1:8" s="2" customFormat="1">
      <c r="A1187" s="5"/>
      <c r="C1187" s="8" t="s">
        <v>2235</v>
      </c>
      <c r="G1187" s="32">
        <f>G1186</f>
        <v>564</v>
      </c>
      <c r="H1187" s="32">
        <f>H1186</f>
        <v>564</v>
      </c>
    </row>
    <row r="1188" spans="1:8" s="2" customFormat="1">
      <c r="A1188" s="5"/>
      <c r="C1188" s="8"/>
      <c r="G1188" s="32"/>
      <c r="H1188" s="32"/>
    </row>
    <row r="1189" spans="1:8" s="2" customFormat="1">
      <c r="A1189" s="5" t="s">
        <v>2527</v>
      </c>
      <c r="B1189" s="2" t="s">
        <v>2731</v>
      </c>
      <c r="G1189" s="32"/>
      <c r="H1189" s="32"/>
    </row>
    <row r="1190" spans="1:8" s="2" customFormat="1">
      <c r="A1190" s="5"/>
      <c r="G1190" s="32"/>
      <c r="H1190" s="32"/>
    </row>
    <row r="1191" spans="1:8" s="2" customFormat="1">
      <c r="A1191" s="6" t="s">
        <v>3155</v>
      </c>
      <c r="B1191" s="2" t="s">
        <v>2732</v>
      </c>
      <c r="C1191" s="2" t="s">
        <v>1029</v>
      </c>
      <c r="D1191" s="2">
        <v>110000</v>
      </c>
      <c r="E1191" s="2">
        <v>610510</v>
      </c>
      <c r="F1191" s="2">
        <v>610110</v>
      </c>
      <c r="G1191" s="32">
        <f>69928+1888</f>
        <v>71816</v>
      </c>
      <c r="H1191" s="32">
        <f>69928+1888</f>
        <v>71816</v>
      </c>
    </row>
    <row r="1192" spans="1:8" s="2" customFormat="1">
      <c r="A1192" s="6" t="s">
        <v>3156</v>
      </c>
      <c r="B1192" s="2" t="s">
        <v>2733</v>
      </c>
      <c r="C1192" s="2" t="s">
        <v>2490</v>
      </c>
      <c r="D1192" s="2">
        <v>110000</v>
      </c>
      <c r="E1192" s="2">
        <v>610510</v>
      </c>
      <c r="F1192" s="2">
        <v>610110</v>
      </c>
      <c r="G1192" s="32">
        <f>54844+1375</f>
        <v>56219</v>
      </c>
      <c r="H1192" s="32">
        <f>54844+1375</f>
        <v>56219</v>
      </c>
    </row>
    <row r="1193" spans="1:8" s="2" customFormat="1">
      <c r="A1193" s="6" t="s">
        <v>3157</v>
      </c>
      <c r="B1193" s="2" t="s">
        <v>2734</v>
      </c>
      <c r="C1193" s="2" t="s">
        <v>2490</v>
      </c>
      <c r="D1193" s="2">
        <v>110000</v>
      </c>
      <c r="E1193" s="2">
        <v>610510</v>
      </c>
      <c r="F1193" s="2">
        <v>610110</v>
      </c>
      <c r="G1193" s="32">
        <f>48546+1463</f>
        <v>50009</v>
      </c>
      <c r="H1193" s="32">
        <f>48546+1463</f>
        <v>50009</v>
      </c>
    </row>
    <row r="1194" spans="1:8" s="2" customFormat="1">
      <c r="A1194" s="6" t="s">
        <v>3158</v>
      </c>
      <c r="B1194" s="2" t="s">
        <v>2735</v>
      </c>
      <c r="C1194" s="2" t="s">
        <v>2490</v>
      </c>
      <c r="D1194" s="2">
        <v>110000</v>
      </c>
      <c r="E1194" s="2">
        <v>610510</v>
      </c>
      <c r="F1194" s="2">
        <v>610110</v>
      </c>
      <c r="G1194" s="32">
        <f>52923+1397</f>
        <v>54320</v>
      </c>
      <c r="H1194" s="32">
        <f>52923+1397</f>
        <v>54320</v>
      </c>
    </row>
    <row r="1195" spans="1:8" s="2" customFormat="1">
      <c r="A1195" s="6" t="s">
        <v>3159</v>
      </c>
      <c r="B1195" s="2" t="s">
        <v>2677</v>
      </c>
      <c r="C1195" s="2" t="s">
        <v>2490</v>
      </c>
      <c r="D1195" s="2">
        <v>110000</v>
      </c>
      <c r="E1195" s="2">
        <v>610510</v>
      </c>
      <c r="F1195" s="2">
        <v>610110</v>
      </c>
      <c r="G1195" s="32">
        <f>55647+1308</f>
        <v>56955</v>
      </c>
      <c r="H1195" s="32">
        <f>55647+1308</f>
        <v>56955</v>
      </c>
    </row>
    <row r="1196" spans="1:8" s="2" customFormat="1">
      <c r="A1196" s="6" t="s">
        <v>3160</v>
      </c>
      <c r="B1196" s="2" t="s">
        <v>2678</v>
      </c>
      <c r="C1196" s="2" t="s">
        <v>2490</v>
      </c>
      <c r="D1196" s="2">
        <v>110000</v>
      </c>
      <c r="E1196" s="2">
        <v>610510</v>
      </c>
      <c r="F1196" s="2">
        <v>610110</v>
      </c>
      <c r="G1196" s="32">
        <f>49254+1395</f>
        <v>50649</v>
      </c>
      <c r="H1196" s="32">
        <f>49254+1395</f>
        <v>50649</v>
      </c>
    </row>
    <row r="1197" spans="1:8" s="2" customFormat="1">
      <c r="A1197" s="6" t="s">
        <v>3161</v>
      </c>
      <c r="B1197" s="2" t="s">
        <v>2679</v>
      </c>
      <c r="C1197" s="2" t="s">
        <v>2490</v>
      </c>
      <c r="D1197" s="2">
        <v>110000</v>
      </c>
      <c r="E1197" s="2">
        <v>610510</v>
      </c>
      <c r="F1197" s="2">
        <v>610110</v>
      </c>
      <c r="G1197" s="32">
        <f>56118+2111</f>
        <v>58229</v>
      </c>
      <c r="H1197" s="32">
        <f>56118+2111</f>
        <v>58229</v>
      </c>
    </row>
    <row r="1198" spans="1:8" s="2" customFormat="1">
      <c r="A1198" s="6" t="s">
        <v>3162</v>
      </c>
      <c r="B1198" s="2" t="s">
        <v>2680</v>
      </c>
      <c r="C1198" s="2" t="s">
        <v>2490</v>
      </c>
      <c r="D1198" s="2">
        <v>110000</v>
      </c>
      <c r="E1198" s="2">
        <v>610510</v>
      </c>
      <c r="F1198" s="2">
        <v>610110</v>
      </c>
      <c r="G1198" s="32">
        <f>69691+1896</f>
        <v>71587</v>
      </c>
      <c r="H1198" s="32">
        <f>69691+1896</f>
        <v>71587</v>
      </c>
    </row>
    <row r="1199" spans="1:8" s="2" customFormat="1">
      <c r="A1199" s="6" t="s">
        <v>3163</v>
      </c>
      <c r="B1199" s="2" t="s">
        <v>2681</v>
      </c>
      <c r="C1199" s="2" t="s">
        <v>2490</v>
      </c>
      <c r="D1199" s="2">
        <v>110000</v>
      </c>
      <c r="E1199" s="2">
        <v>610510</v>
      </c>
      <c r="F1199" s="2">
        <v>610110</v>
      </c>
      <c r="G1199" s="32">
        <f>41274+961</f>
        <v>42235</v>
      </c>
      <c r="H1199" s="32">
        <f>41274+961</f>
        <v>42235</v>
      </c>
    </row>
    <row r="1200" spans="1:8" s="2" customFormat="1">
      <c r="A1200" s="6" t="s">
        <v>3164</v>
      </c>
      <c r="B1200" s="2" t="s">
        <v>2682</v>
      </c>
      <c r="C1200" s="2" t="s">
        <v>544</v>
      </c>
      <c r="D1200" s="2">
        <v>110000</v>
      </c>
      <c r="E1200" s="2">
        <v>610510</v>
      </c>
      <c r="F1200" s="2">
        <v>610110</v>
      </c>
      <c r="G1200" s="32">
        <f>44814+1163</f>
        <v>45977</v>
      </c>
      <c r="H1200" s="32">
        <f>44814+1163</f>
        <v>45977</v>
      </c>
    </row>
    <row r="1201" spans="1:8" s="2" customFormat="1">
      <c r="A1201" s="6" t="s">
        <v>3165</v>
      </c>
      <c r="B1201" s="2" t="s">
        <v>2683</v>
      </c>
      <c r="C1201" s="2" t="s">
        <v>544</v>
      </c>
      <c r="D1201" s="2">
        <v>110000</v>
      </c>
      <c r="E1201" s="2">
        <v>610510</v>
      </c>
      <c r="F1201" s="2">
        <v>610110</v>
      </c>
      <c r="G1201" s="32">
        <f>40571+1402</f>
        <v>41973</v>
      </c>
      <c r="H1201" s="32">
        <f>40571+1402</f>
        <v>41973</v>
      </c>
    </row>
    <row r="1202" spans="1:8" s="2" customFormat="1">
      <c r="A1202" s="6" t="s">
        <v>3166</v>
      </c>
      <c r="B1202" s="2" t="s">
        <v>2684</v>
      </c>
      <c r="C1202" s="2" t="s">
        <v>544</v>
      </c>
      <c r="D1202" s="2">
        <v>110000</v>
      </c>
      <c r="E1202" s="2">
        <v>610510</v>
      </c>
      <c r="F1202" s="2">
        <v>610110</v>
      </c>
      <c r="G1202" s="32">
        <f>47564+1099</f>
        <v>48663</v>
      </c>
      <c r="H1202" s="32">
        <f>47564+1099</f>
        <v>48663</v>
      </c>
    </row>
    <row r="1203" spans="1:8" s="2" customFormat="1">
      <c r="A1203" s="6" t="s">
        <v>3167</v>
      </c>
      <c r="B1203" s="2" t="s">
        <v>2685</v>
      </c>
      <c r="C1203" s="2" t="s">
        <v>544</v>
      </c>
      <c r="D1203" s="2">
        <v>110000</v>
      </c>
      <c r="E1203" s="2">
        <v>610510</v>
      </c>
      <c r="F1203" s="2">
        <v>610110</v>
      </c>
      <c r="G1203" s="32">
        <f>56339+1268</f>
        <v>57607</v>
      </c>
      <c r="H1203" s="32">
        <f>56339+1268</f>
        <v>57607</v>
      </c>
    </row>
    <row r="1204" spans="1:8" s="2" customFormat="1">
      <c r="A1204" s="6" t="s">
        <v>3168</v>
      </c>
      <c r="B1204" s="2" t="s">
        <v>2686</v>
      </c>
      <c r="C1204" s="2" t="s">
        <v>544</v>
      </c>
      <c r="D1204" s="2">
        <v>110000</v>
      </c>
      <c r="E1204" s="2">
        <v>610510</v>
      </c>
      <c r="F1204" s="2">
        <v>610110</v>
      </c>
      <c r="G1204" s="32">
        <f>43062+1981</f>
        <v>45043</v>
      </c>
      <c r="H1204" s="32">
        <f>43062+1981</f>
        <v>45043</v>
      </c>
    </row>
    <row r="1205" spans="1:8" s="2" customFormat="1">
      <c r="A1205" s="6" t="s">
        <v>3169</v>
      </c>
      <c r="B1205" s="2" t="s">
        <v>2746</v>
      </c>
      <c r="C1205" s="2" t="s">
        <v>148</v>
      </c>
      <c r="D1205" s="2">
        <v>110000</v>
      </c>
      <c r="E1205" s="2">
        <v>610510</v>
      </c>
      <c r="F1205" s="2">
        <v>610110</v>
      </c>
      <c r="G1205" s="32">
        <f>37148+1295</f>
        <v>38443</v>
      </c>
      <c r="H1205" s="32">
        <f>37148+1295</f>
        <v>38443</v>
      </c>
    </row>
    <row r="1206" spans="1:8" s="2" customFormat="1">
      <c r="A1206" s="6" t="s">
        <v>3170</v>
      </c>
      <c r="B1206" s="2" t="s">
        <v>2747</v>
      </c>
      <c r="C1206" s="2" t="s">
        <v>148</v>
      </c>
      <c r="D1206" s="2">
        <v>110000</v>
      </c>
      <c r="E1206" s="2">
        <v>610510</v>
      </c>
      <c r="F1206" s="2">
        <v>610110</v>
      </c>
      <c r="G1206" s="32">
        <f>41842+1286</f>
        <v>43128</v>
      </c>
      <c r="H1206" s="32">
        <f>41842+1286</f>
        <v>43128</v>
      </c>
    </row>
    <row r="1207" spans="1:8" s="2" customFormat="1">
      <c r="A1207" s="6" t="s">
        <v>3171</v>
      </c>
      <c r="B1207" s="2" t="s">
        <v>2745</v>
      </c>
      <c r="C1207" s="2" t="s">
        <v>148</v>
      </c>
      <c r="D1207" s="2">
        <v>110000</v>
      </c>
      <c r="E1207" s="2">
        <v>610510</v>
      </c>
      <c r="F1207" s="2">
        <v>610110</v>
      </c>
      <c r="G1207" s="32">
        <f>36445+821</f>
        <v>37266</v>
      </c>
      <c r="H1207" s="32">
        <f>36445+821</f>
        <v>37266</v>
      </c>
    </row>
    <row r="1208" spans="1:8" s="2" customFormat="1">
      <c r="A1208" s="6" t="s">
        <v>3172</v>
      </c>
      <c r="B1208" s="2" t="s">
        <v>1629</v>
      </c>
      <c r="C1208" s="2" t="s">
        <v>148</v>
      </c>
      <c r="D1208" s="2">
        <v>110000</v>
      </c>
      <c r="E1208" s="2">
        <v>610510</v>
      </c>
      <c r="F1208" s="2">
        <v>610110</v>
      </c>
      <c r="G1208" s="32">
        <f>37494+1081</f>
        <v>38575</v>
      </c>
      <c r="H1208" s="32">
        <f>37494+1081</f>
        <v>38575</v>
      </c>
    </row>
    <row r="1209" spans="1:8" s="2" customFormat="1">
      <c r="A1209" s="6" t="s">
        <v>3173</v>
      </c>
      <c r="B1209" s="2" t="s">
        <v>1184</v>
      </c>
      <c r="C1209" s="2" t="s">
        <v>27</v>
      </c>
      <c r="D1209" s="2">
        <v>110000</v>
      </c>
      <c r="E1209" s="2">
        <v>610510</v>
      </c>
      <c r="F1209" s="2">
        <v>610410</v>
      </c>
      <c r="G1209" s="32">
        <f>21278+596</f>
        <v>21874</v>
      </c>
      <c r="H1209" s="32">
        <f>21278+596</f>
        <v>21874</v>
      </c>
    </row>
    <row r="1210" spans="1:8" s="2" customFormat="1">
      <c r="A1210" s="6" t="s">
        <v>3174</v>
      </c>
      <c r="B1210" s="2" t="s">
        <v>1185</v>
      </c>
      <c r="C1210" s="2" t="s">
        <v>1609</v>
      </c>
      <c r="D1210" s="2">
        <v>110000</v>
      </c>
      <c r="E1210" s="2">
        <v>610510</v>
      </c>
      <c r="F1210" s="2">
        <v>610410</v>
      </c>
      <c r="G1210" s="32">
        <f>18363+514</f>
        <v>18877</v>
      </c>
      <c r="H1210" s="32">
        <f>18363+514</f>
        <v>18877</v>
      </c>
    </row>
    <row r="1211" spans="1:8" s="2" customFormat="1">
      <c r="A1211" s="6"/>
      <c r="C1211" s="2" t="s">
        <v>2950</v>
      </c>
      <c r="D1211" s="2">
        <v>110000</v>
      </c>
      <c r="E1211" s="2">
        <v>610510</v>
      </c>
      <c r="F1211" s="2">
        <v>610000</v>
      </c>
      <c r="G1211" s="36"/>
      <c r="H1211" s="36"/>
    </row>
    <row r="1212" spans="1:8" s="2" customFormat="1">
      <c r="A1212" s="6"/>
      <c r="C1212" s="2" t="s">
        <v>2951</v>
      </c>
      <c r="D1212" s="2">
        <v>110000</v>
      </c>
      <c r="E1212" s="2">
        <v>610510</v>
      </c>
      <c r="F1212" s="2">
        <v>630000</v>
      </c>
      <c r="G1212" s="32">
        <f>SUM(G1191:G1211)*0.21</f>
        <v>199383.44999999998</v>
      </c>
      <c r="H1212" s="32">
        <f>SUM(H1191:H1211)*0.21</f>
        <v>199383.44999999998</v>
      </c>
    </row>
    <row r="1213" spans="1:8" s="2" customFormat="1">
      <c r="A1213" s="6"/>
      <c r="C1213" s="8" t="s">
        <v>1129</v>
      </c>
      <c r="G1213" s="32">
        <f>SUM(G1191:G1212)</f>
        <v>1148828.45</v>
      </c>
      <c r="H1213" s="32">
        <f>SUM(H1191:H1212)</f>
        <v>1148828.45</v>
      </c>
    </row>
    <row r="1214" spans="1:8" s="2" customFormat="1">
      <c r="A1214" s="6"/>
      <c r="C1214" s="2" t="s">
        <v>2234</v>
      </c>
      <c r="D1214" s="2">
        <v>110000</v>
      </c>
      <c r="E1214" s="2">
        <v>610510</v>
      </c>
      <c r="F1214" s="2">
        <v>710000</v>
      </c>
      <c r="G1214" s="32">
        <f>23572+2000</f>
        <v>25572</v>
      </c>
      <c r="H1214" s="32">
        <f>23572+2000</f>
        <v>25572</v>
      </c>
    </row>
    <row r="1215" spans="1:8" s="2" customFormat="1">
      <c r="A1215" s="5"/>
      <c r="C1215" s="2" t="s">
        <v>1186</v>
      </c>
      <c r="D1215" s="2">
        <v>110000</v>
      </c>
      <c r="E1215" s="2">
        <v>610510</v>
      </c>
      <c r="F1215" s="2">
        <v>710000</v>
      </c>
      <c r="G1215" s="32">
        <v>2739</v>
      </c>
      <c r="H1215" s="32">
        <v>2739</v>
      </c>
    </row>
    <row r="1216" spans="1:8" s="2" customFormat="1">
      <c r="A1216" s="5"/>
      <c r="C1216" s="2" t="s">
        <v>1187</v>
      </c>
      <c r="D1216" s="2">
        <v>110000</v>
      </c>
      <c r="E1216" s="2">
        <v>610510</v>
      </c>
      <c r="F1216" s="2">
        <v>710000</v>
      </c>
      <c r="G1216" s="32">
        <v>500</v>
      </c>
      <c r="H1216" s="32">
        <v>500</v>
      </c>
    </row>
    <row r="1217" spans="1:8" s="2" customFormat="1">
      <c r="A1217" s="5"/>
      <c r="C1217" s="8" t="s">
        <v>2235</v>
      </c>
      <c r="G1217" s="32">
        <f>SUM(G1213:G1216)</f>
        <v>1177639.45</v>
      </c>
      <c r="H1217" s="32">
        <f>SUM(H1213:H1216)</f>
        <v>1177639.45</v>
      </c>
    </row>
    <row r="1218" spans="1:8" s="2" customFormat="1">
      <c r="A1218" s="5"/>
      <c r="C1218" s="8"/>
      <c r="G1218" s="32"/>
      <c r="H1218" s="32"/>
    </row>
    <row r="1219" spans="1:8" s="2" customFormat="1">
      <c r="A1219" s="5" t="s">
        <v>2527</v>
      </c>
      <c r="B1219" s="2" t="s">
        <v>1787</v>
      </c>
      <c r="G1219" s="32"/>
      <c r="H1219" s="32"/>
    </row>
    <row r="1220" spans="1:8" s="2" customFormat="1">
      <c r="A1220" s="5"/>
      <c r="G1220" s="32"/>
      <c r="H1220" s="32"/>
    </row>
    <row r="1221" spans="1:8" s="2" customFormat="1">
      <c r="A1221" s="5"/>
      <c r="C1221" s="2" t="s">
        <v>2234</v>
      </c>
      <c r="D1221" s="2">
        <v>110000</v>
      </c>
      <c r="E1221" s="2">
        <v>610510</v>
      </c>
      <c r="F1221" s="2">
        <v>710000</v>
      </c>
      <c r="G1221" s="32">
        <v>2040</v>
      </c>
      <c r="H1221" s="32">
        <v>2040</v>
      </c>
    </row>
    <row r="1222" spans="1:8" s="2" customFormat="1">
      <c r="A1222" s="5"/>
      <c r="C1222" s="8" t="s">
        <v>2235</v>
      </c>
      <c r="G1222" s="32">
        <v>2040</v>
      </c>
      <c r="H1222" s="32">
        <v>2040</v>
      </c>
    </row>
    <row r="1223" spans="1:8" s="2" customFormat="1">
      <c r="A1223" s="5"/>
      <c r="G1223" s="32"/>
      <c r="H1223" s="32"/>
    </row>
    <row r="1224" spans="1:8" s="2" customFormat="1">
      <c r="A1224" s="5" t="s">
        <v>2527</v>
      </c>
      <c r="B1224" s="2" t="s">
        <v>1788</v>
      </c>
      <c r="G1224" s="32"/>
      <c r="H1224" s="32"/>
    </row>
    <row r="1225" spans="1:8" s="2" customFormat="1">
      <c r="A1225" s="5"/>
      <c r="G1225" s="32"/>
      <c r="H1225" s="32"/>
    </row>
    <row r="1226" spans="1:8" s="2" customFormat="1">
      <c r="A1226" s="5"/>
      <c r="C1226" s="2" t="s">
        <v>2234</v>
      </c>
      <c r="D1226" s="2">
        <v>110000</v>
      </c>
      <c r="E1226" s="2">
        <v>610510</v>
      </c>
      <c r="F1226" s="2">
        <v>710000</v>
      </c>
      <c r="G1226" s="32">
        <v>1190</v>
      </c>
      <c r="H1226" s="32">
        <v>1190</v>
      </c>
    </row>
    <row r="1227" spans="1:8" s="2" customFormat="1">
      <c r="A1227" s="5"/>
      <c r="C1227" s="8" t="s">
        <v>2235</v>
      </c>
      <c r="G1227" s="32">
        <v>1190</v>
      </c>
      <c r="H1227" s="32">
        <v>1190</v>
      </c>
    </row>
    <row r="1228" spans="1:8" s="2" customFormat="1">
      <c r="A1228" s="5"/>
      <c r="G1228" s="32"/>
      <c r="H1228" s="32"/>
    </row>
    <row r="1229" spans="1:8" s="2" customFormat="1">
      <c r="A1229" s="5" t="s">
        <v>2525</v>
      </c>
      <c r="B1229" s="2" t="s">
        <v>2890</v>
      </c>
      <c r="G1229" s="32"/>
      <c r="H1229" s="32"/>
    </row>
    <row r="1230" spans="1:8" s="2" customFormat="1">
      <c r="A1230" s="5"/>
      <c r="G1230" s="32"/>
      <c r="H1230" s="32"/>
    </row>
    <row r="1231" spans="1:8" s="2" customFormat="1">
      <c r="A1231" s="6" t="s">
        <v>3141</v>
      </c>
      <c r="B1231" s="2" t="s">
        <v>2891</v>
      </c>
      <c r="C1231" s="2" t="s">
        <v>1029</v>
      </c>
      <c r="D1231" s="2">
        <v>110000</v>
      </c>
      <c r="E1231" s="2">
        <v>610610</v>
      </c>
      <c r="F1231" s="2">
        <v>610110</v>
      </c>
      <c r="G1231" s="32">
        <f>69919+2097</f>
        <v>72016</v>
      </c>
      <c r="H1231" s="32">
        <f>69919+2097</f>
        <v>72016</v>
      </c>
    </row>
    <row r="1232" spans="1:8" s="2" customFormat="1">
      <c r="A1232" s="6" t="s">
        <v>3142</v>
      </c>
      <c r="B1232" s="2" t="s">
        <v>2718</v>
      </c>
      <c r="C1232" s="2" t="s">
        <v>2490</v>
      </c>
      <c r="D1232" s="2">
        <v>110000</v>
      </c>
      <c r="E1232" s="2">
        <v>610610</v>
      </c>
      <c r="F1232" s="2">
        <v>610110</v>
      </c>
      <c r="G1232" s="32">
        <f>46838+1500+1965</f>
        <v>50303</v>
      </c>
      <c r="H1232" s="32">
        <f>46838+1500+1965</f>
        <v>50303</v>
      </c>
    </row>
    <row r="1233" spans="1:8" s="2" customFormat="1">
      <c r="A1233" s="6" t="s">
        <v>3143</v>
      </c>
      <c r="B1233" s="2" t="s">
        <v>2719</v>
      </c>
      <c r="C1233" s="2" t="s">
        <v>148</v>
      </c>
      <c r="D1233" s="2">
        <v>110000</v>
      </c>
      <c r="E1233" s="2">
        <v>610610</v>
      </c>
      <c r="F1233" s="2">
        <v>610110</v>
      </c>
      <c r="G1233" s="32">
        <f>48106+1443</f>
        <v>49549</v>
      </c>
      <c r="H1233" s="32">
        <f>48106+1443</f>
        <v>49549</v>
      </c>
    </row>
    <row r="1234" spans="1:8" s="2" customFormat="1">
      <c r="A1234" s="6" t="s">
        <v>3144</v>
      </c>
      <c r="B1234" s="2" t="s">
        <v>2720</v>
      </c>
      <c r="C1234" s="2" t="s">
        <v>148</v>
      </c>
      <c r="D1234" s="2">
        <v>110000</v>
      </c>
      <c r="E1234" s="2">
        <v>610610</v>
      </c>
      <c r="F1234" s="2">
        <v>610110</v>
      </c>
      <c r="G1234" s="32">
        <f>37385+1084</f>
        <v>38469</v>
      </c>
      <c r="H1234" s="32">
        <f>37385+1084</f>
        <v>38469</v>
      </c>
    </row>
    <row r="1235" spans="1:8" s="2" customFormat="1">
      <c r="A1235" s="6" t="s">
        <v>3145</v>
      </c>
      <c r="B1235" s="2" t="s">
        <v>2721</v>
      </c>
      <c r="C1235" s="2" t="s">
        <v>2106</v>
      </c>
      <c r="D1235" s="2">
        <v>110000</v>
      </c>
      <c r="E1235" s="2">
        <v>610610</v>
      </c>
      <c r="F1235" s="2">
        <v>610110</v>
      </c>
      <c r="G1235" s="32">
        <f>28518+770</f>
        <v>29288</v>
      </c>
      <c r="H1235" s="32">
        <f>28518+770</f>
        <v>29288</v>
      </c>
    </row>
    <row r="1236" spans="1:8" s="2" customFormat="1">
      <c r="A1236" s="6" t="s">
        <v>3146</v>
      </c>
      <c r="B1236" s="2" t="s">
        <v>2722</v>
      </c>
      <c r="C1236" s="2" t="s">
        <v>2106</v>
      </c>
      <c r="D1236" s="2">
        <v>110000</v>
      </c>
      <c r="E1236" s="2">
        <v>610610</v>
      </c>
      <c r="F1236" s="2">
        <v>610110</v>
      </c>
      <c r="G1236" s="32">
        <f>30367+880</f>
        <v>31247</v>
      </c>
      <c r="H1236" s="32">
        <f>30367+880</f>
        <v>31247</v>
      </c>
    </row>
    <row r="1237" spans="1:8" s="2" customFormat="1">
      <c r="A1237" s="6" t="s">
        <v>3147</v>
      </c>
      <c r="B1237" s="2" t="s">
        <v>2723</v>
      </c>
      <c r="C1237" s="2" t="s">
        <v>2106</v>
      </c>
      <c r="G1237" s="32">
        <v>12576</v>
      </c>
      <c r="H1237" s="32"/>
    </row>
    <row r="1238" spans="1:8" s="2" customFormat="1">
      <c r="A1238" s="6" t="s">
        <v>3148</v>
      </c>
      <c r="B1238" s="2" t="s">
        <v>2724</v>
      </c>
      <c r="C1238" s="2" t="s">
        <v>2106</v>
      </c>
      <c r="D1238" s="2">
        <v>110000</v>
      </c>
      <c r="E1238" s="2">
        <v>610610</v>
      </c>
      <c r="F1238" s="2">
        <v>610110</v>
      </c>
      <c r="G1238" s="32">
        <f>28947+825</f>
        <v>29772</v>
      </c>
      <c r="H1238" s="32">
        <f>28947+825</f>
        <v>29772</v>
      </c>
    </row>
    <row r="1239" spans="1:8" s="2" customFormat="1">
      <c r="A1239" s="6" t="s">
        <v>3149</v>
      </c>
      <c r="B1239" s="2" t="s">
        <v>2725</v>
      </c>
      <c r="C1239" s="2" t="s">
        <v>2106</v>
      </c>
      <c r="D1239" s="2">
        <v>110000</v>
      </c>
      <c r="E1239" s="2">
        <v>610610</v>
      </c>
      <c r="F1239" s="2">
        <v>610110</v>
      </c>
      <c r="G1239" s="32">
        <f>28744+790</f>
        <v>29534</v>
      </c>
      <c r="H1239" s="32">
        <f>28744+790</f>
        <v>29534</v>
      </c>
    </row>
    <row r="1240" spans="1:8" s="2" customFormat="1">
      <c r="A1240" s="6" t="s">
        <v>3150</v>
      </c>
      <c r="B1240" s="2" t="s">
        <v>2726</v>
      </c>
      <c r="C1240" s="2" t="s">
        <v>1143</v>
      </c>
      <c r="G1240" s="32">
        <v>60175</v>
      </c>
      <c r="H1240" s="32"/>
    </row>
    <row r="1241" spans="1:8" s="2" customFormat="1">
      <c r="A1241" s="6" t="s">
        <v>918</v>
      </c>
      <c r="B1241" s="2" t="s">
        <v>1532</v>
      </c>
      <c r="C1241" s="2" t="s">
        <v>2727</v>
      </c>
      <c r="G1241" s="32">
        <v>28000</v>
      </c>
      <c r="H1241" s="32">
        <v>28000</v>
      </c>
    </row>
    <row r="1242" spans="1:8" s="2" customFormat="1">
      <c r="A1242" s="6" t="s">
        <v>3151</v>
      </c>
      <c r="B1242" s="2" t="s">
        <v>1555</v>
      </c>
      <c r="C1242" s="2" t="s">
        <v>2941</v>
      </c>
      <c r="D1242" s="2">
        <v>110000</v>
      </c>
      <c r="E1242" s="2">
        <v>610610</v>
      </c>
      <c r="F1242" s="2">
        <v>610410</v>
      </c>
      <c r="G1242" s="32">
        <f>18282+512</f>
        <v>18794</v>
      </c>
      <c r="H1242" s="32">
        <f>18282+512</f>
        <v>18794</v>
      </c>
    </row>
    <row r="1243" spans="1:8" s="2" customFormat="1">
      <c r="A1243" s="6" t="s">
        <v>3152</v>
      </c>
      <c r="B1243" s="2" t="s">
        <v>2995</v>
      </c>
      <c r="C1243" s="2" t="s">
        <v>1609</v>
      </c>
      <c r="D1243" s="2">
        <v>110000</v>
      </c>
      <c r="E1243" s="2">
        <v>610610</v>
      </c>
      <c r="F1243" s="2">
        <v>610410</v>
      </c>
      <c r="G1243" s="32">
        <v>16345</v>
      </c>
      <c r="H1243" s="32">
        <v>16345</v>
      </c>
    </row>
    <row r="1244" spans="1:8" s="2" customFormat="1">
      <c r="A1244" s="6" t="s">
        <v>919</v>
      </c>
      <c r="B1244" s="2" t="s">
        <v>2728</v>
      </c>
      <c r="C1244" s="2" t="s">
        <v>1144</v>
      </c>
      <c r="G1244" s="32">
        <v>17924</v>
      </c>
      <c r="H1244" s="32"/>
    </row>
    <row r="1245" spans="1:8" s="2" customFormat="1">
      <c r="A1245" s="6" t="s">
        <v>3153</v>
      </c>
      <c r="B1245" s="2" t="s">
        <v>1533</v>
      </c>
      <c r="C1245" s="2" t="s">
        <v>148</v>
      </c>
      <c r="D1245" s="2">
        <v>110000</v>
      </c>
      <c r="E1245" s="2">
        <v>610610</v>
      </c>
      <c r="F1245" s="2">
        <v>610110</v>
      </c>
      <c r="G1245" s="32">
        <f>35000+1561</f>
        <v>36561</v>
      </c>
      <c r="H1245" s="32">
        <f>35000+1561</f>
        <v>36561</v>
      </c>
    </row>
    <row r="1246" spans="1:8" s="2" customFormat="1">
      <c r="A1246" s="6" t="s">
        <v>3154</v>
      </c>
      <c r="B1246" s="2" t="s">
        <v>1534</v>
      </c>
      <c r="C1246" s="2" t="s">
        <v>2170</v>
      </c>
      <c r="D1246" s="2">
        <v>110000</v>
      </c>
      <c r="E1246" s="2">
        <v>610610</v>
      </c>
      <c r="F1246" s="2">
        <v>610110</v>
      </c>
      <c r="G1246" s="32">
        <v>31836</v>
      </c>
      <c r="H1246" s="32">
        <v>31836</v>
      </c>
    </row>
    <row r="1247" spans="1:8" s="2" customFormat="1">
      <c r="A1247" s="6"/>
      <c r="C1247" s="2" t="s">
        <v>1611</v>
      </c>
      <c r="D1247" s="2">
        <v>110000</v>
      </c>
      <c r="E1247" s="2">
        <v>610610</v>
      </c>
      <c r="F1247" s="2">
        <v>620000</v>
      </c>
      <c r="G1247" s="32">
        <v>2000</v>
      </c>
      <c r="H1247" s="32">
        <v>2000</v>
      </c>
    </row>
    <row r="1248" spans="1:8" s="2" customFormat="1">
      <c r="A1248" s="6"/>
      <c r="C1248" s="2" t="s">
        <v>2950</v>
      </c>
      <c r="D1248" s="2">
        <v>110000</v>
      </c>
      <c r="E1248" s="2">
        <v>610610</v>
      </c>
      <c r="F1248" s="2">
        <v>610000</v>
      </c>
      <c r="G1248" s="36"/>
      <c r="H1248" s="36"/>
    </row>
    <row r="1249" spans="1:8" s="2" customFormat="1">
      <c r="A1249" s="5"/>
      <c r="C1249" s="2" t="s">
        <v>2951</v>
      </c>
      <c r="D1249" s="2">
        <v>110000</v>
      </c>
      <c r="E1249" s="2">
        <v>610610</v>
      </c>
      <c r="F1249" s="2">
        <v>630000</v>
      </c>
      <c r="G1249" s="32">
        <f>SUM(G1231:G1248)*0.2-277</f>
        <v>110600.8</v>
      </c>
      <c r="H1249" s="32">
        <f>SUM(H1231:H1248)*0.2-277</f>
        <v>92465.8</v>
      </c>
    </row>
    <row r="1250" spans="1:8" s="2" customFormat="1">
      <c r="A1250" s="5"/>
      <c r="C1250" s="8" t="s">
        <v>1129</v>
      </c>
      <c r="G1250" s="32">
        <f>SUM(G1231:G1249)</f>
        <v>664989.80000000005</v>
      </c>
      <c r="H1250" s="32">
        <f>SUM(H1231:H1249)</f>
        <v>556179.80000000005</v>
      </c>
    </row>
    <row r="1251" spans="1:8" s="2" customFormat="1">
      <c r="A1251" s="5"/>
      <c r="C1251" s="2" t="s">
        <v>2234</v>
      </c>
      <c r="D1251" s="2">
        <v>110000</v>
      </c>
      <c r="E1251" s="2">
        <v>610610</v>
      </c>
      <c r="F1251" s="2">
        <v>710000</v>
      </c>
      <c r="G1251" s="32">
        <v>11627</v>
      </c>
      <c r="H1251" s="32">
        <v>11627</v>
      </c>
    </row>
    <row r="1252" spans="1:8" s="2" customFormat="1">
      <c r="A1252" s="5"/>
      <c r="C1252" s="8" t="s">
        <v>2235</v>
      </c>
      <c r="G1252" s="32">
        <f>G1250+G1251</f>
        <v>676616.8</v>
      </c>
      <c r="H1252" s="32">
        <f>H1250+H1251</f>
        <v>567806.80000000005</v>
      </c>
    </row>
    <row r="1253" spans="1:8" s="2" customFormat="1">
      <c r="A1253" s="5"/>
      <c r="G1253" s="32"/>
      <c r="H1253" s="32"/>
    </row>
    <row r="1254" spans="1:8" s="2" customFormat="1">
      <c r="A1254" s="5" t="s">
        <v>2525</v>
      </c>
      <c r="B1254" s="2" t="s">
        <v>2904</v>
      </c>
      <c r="G1254" s="32"/>
      <c r="H1254" s="32"/>
    </row>
    <row r="1255" spans="1:8" s="2" customFormat="1">
      <c r="A1255" s="5"/>
      <c r="G1255" s="32"/>
      <c r="H1255" s="32"/>
    </row>
    <row r="1256" spans="1:8" s="2" customFormat="1">
      <c r="A1256" s="5"/>
      <c r="C1256" s="2" t="s">
        <v>2234</v>
      </c>
      <c r="D1256" s="2">
        <v>110000</v>
      </c>
      <c r="E1256" s="2">
        <v>610610</v>
      </c>
      <c r="F1256" s="2">
        <v>710000</v>
      </c>
      <c r="G1256" s="32">
        <v>35520</v>
      </c>
      <c r="H1256" s="32">
        <v>35520</v>
      </c>
    </row>
    <row r="1257" spans="1:8" s="2" customFormat="1">
      <c r="A1257" s="5"/>
      <c r="C1257" s="8" t="s">
        <v>2235</v>
      </c>
      <c r="G1257" s="32">
        <v>35520</v>
      </c>
      <c r="H1257" s="32">
        <v>35520</v>
      </c>
    </row>
    <row r="1258" spans="1:8" s="2" customFormat="1">
      <c r="A1258" s="5"/>
      <c r="G1258" s="32"/>
      <c r="H1258" s="32"/>
    </row>
    <row r="1259" spans="1:8" s="2" customFormat="1">
      <c r="A1259" s="5" t="s">
        <v>2526</v>
      </c>
      <c r="B1259" s="2" t="s">
        <v>2902</v>
      </c>
      <c r="G1259" s="32"/>
      <c r="H1259" s="32"/>
    </row>
    <row r="1260" spans="1:8" s="2" customFormat="1">
      <c r="A1260" s="5"/>
      <c r="G1260" s="32"/>
      <c r="H1260" s="32"/>
    </row>
    <row r="1261" spans="1:8" s="2" customFormat="1">
      <c r="A1261" s="5"/>
      <c r="C1261" s="2" t="s">
        <v>2903</v>
      </c>
      <c r="D1261" s="2">
        <v>110000</v>
      </c>
      <c r="E1261" s="2">
        <v>610611</v>
      </c>
      <c r="F1261" s="2">
        <v>620000</v>
      </c>
      <c r="G1261" s="32">
        <v>5000</v>
      </c>
      <c r="H1261" s="32">
        <v>5000</v>
      </c>
    </row>
    <row r="1262" spans="1:8" s="2" customFormat="1">
      <c r="A1262" s="5"/>
      <c r="C1262" s="2" t="s">
        <v>2234</v>
      </c>
      <c r="D1262" s="2">
        <v>110000</v>
      </c>
      <c r="E1262" s="2">
        <v>610611</v>
      </c>
      <c r="F1262" s="2">
        <v>710000</v>
      </c>
      <c r="G1262" s="32">
        <v>15419</v>
      </c>
      <c r="H1262" s="32">
        <v>15419</v>
      </c>
    </row>
    <row r="1263" spans="1:8" s="2" customFormat="1">
      <c r="A1263" s="5"/>
      <c r="C1263" s="8" t="s">
        <v>2235</v>
      </c>
      <c r="G1263" s="32">
        <f>SUM(G1261:G1262)</f>
        <v>20419</v>
      </c>
      <c r="H1263" s="32">
        <f>SUM(H1261:H1262)</f>
        <v>20419</v>
      </c>
    </row>
    <row r="1264" spans="1:8" s="2" customFormat="1">
      <c r="A1264" s="5"/>
      <c r="G1264" s="32"/>
      <c r="H1264" s="32"/>
    </row>
    <row r="1265" spans="1:8" s="2" customFormat="1">
      <c r="A1265" s="6" t="s">
        <v>3031</v>
      </c>
      <c r="B1265" s="2" t="s">
        <v>1435</v>
      </c>
      <c r="D1265" s="26"/>
      <c r="G1265" s="32"/>
      <c r="H1265" s="32"/>
    </row>
    <row r="1266" spans="1:8" s="2" customFormat="1">
      <c r="D1266" s="26"/>
      <c r="G1266" s="32"/>
      <c r="H1266" s="32"/>
    </row>
    <row r="1267" spans="1:8" s="2" customFormat="1">
      <c r="A1267" s="5" t="s">
        <v>1840</v>
      </c>
      <c r="B1267" s="2" t="s">
        <v>1440</v>
      </c>
      <c r="C1267" s="2" t="s">
        <v>1219</v>
      </c>
      <c r="D1267" s="26">
        <v>110000</v>
      </c>
      <c r="E1267" s="2">
        <v>610612</v>
      </c>
      <c r="F1267" s="2">
        <v>610110</v>
      </c>
      <c r="G1267" s="32">
        <f>41431+953</f>
        <v>42384</v>
      </c>
      <c r="H1267" s="32">
        <f>41431+953</f>
        <v>42384</v>
      </c>
    </row>
    <row r="1268" spans="1:8" s="2" customFormat="1">
      <c r="A1268" s="5" t="s">
        <v>2287</v>
      </c>
      <c r="B1268" s="2" t="s">
        <v>2991</v>
      </c>
      <c r="C1268" s="2" t="s">
        <v>1608</v>
      </c>
      <c r="D1268" s="26">
        <v>110000</v>
      </c>
      <c r="E1268" s="2">
        <v>610612</v>
      </c>
      <c r="F1268" s="2">
        <v>610110</v>
      </c>
      <c r="G1268" s="32">
        <f>17618+493</f>
        <v>18111</v>
      </c>
      <c r="H1268" s="32">
        <f>17618+493</f>
        <v>18111</v>
      </c>
    </row>
    <row r="1269" spans="1:8" s="2" customFormat="1">
      <c r="D1269" s="26">
        <v>110000</v>
      </c>
      <c r="E1269" s="2">
        <v>220100</v>
      </c>
      <c r="F1269" s="2">
        <v>610210</v>
      </c>
      <c r="G1269" s="32">
        <f>14077+394</f>
        <v>14471</v>
      </c>
      <c r="H1269" s="32"/>
    </row>
    <row r="1270" spans="1:8" s="2" customFormat="1">
      <c r="D1270" s="26"/>
      <c r="E1270" s="2" t="s">
        <v>2880</v>
      </c>
      <c r="G1270" s="32">
        <f>SUM(G1268:G1269)</f>
        <v>32582</v>
      </c>
      <c r="H1270" s="32">
        <f>SUM(H1268:H1269)</f>
        <v>18111</v>
      </c>
    </row>
    <row r="1271" spans="1:8" s="19" customFormat="1">
      <c r="A1271" s="18" t="s">
        <v>1841</v>
      </c>
      <c r="C1271" s="19" t="s">
        <v>1219</v>
      </c>
      <c r="D1271" s="26">
        <v>110000</v>
      </c>
      <c r="E1271" s="2">
        <v>610612</v>
      </c>
      <c r="F1271" s="2">
        <v>610110</v>
      </c>
      <c r="G1271" s="34">
        <v>32695</v>
      </c>
      <c r="H1271" s="34">
        <v>32695</v>
      </c>
    </row>
    <row r="1272" spans="1:8" s="2" customFormat="1">
      <c r="A1272" s="5" t="s">
        <v>1842</v>
      </c>
      <c r="B1272" s="2" t="s">
        <v>1539</v>
      </c>
      <c r="C1272" s="2" t="s">
        <v>1219</v>
      </c>
      <c r="D1272" s="26">
        <v>110000</v>
      </c>
      <c r="E1272" s="2">
        <v>610612</v>
      </c>
      <c r="F1272" s="2">
        <v>610110</v>
      </c>
      <c r="G1272" s="32">
        <f>28584+972</f>
        <v>29556</v>
      </c>
      <c r="H1272" s="32">
        <f>28584+972</f>
        <v>29556</v>
      </c>
    </row>
    <row r="1273" spans="1:8" s="2" customFormat="1">
      <c r="A1273" s="5" t="s">
        <v>1843</v>
      </c>
      <c r="B1273" s="2" t="s">
        <v>1437</v>
      </c>
      <c r="C1273" s="2" t="s">
        <v>1219</v>
      </c>
      <c r="D1273" s="26">
        <v>110000</v>
      </c>
      <c r="E1273" s="2">
        <v>610612</v>
      </c>
      <c r="F1273" s="2">
        <v>610110</v>
      </c>
      <c r="G1273" s="32">
        <f>33209+863</f>
        <v>34072</v>
      </c>
      <c r="H1273" s="32">
        <f>33209+863</f>
        <v>34072</v>
      </c>
    </row>
    <row r="1274" spans="1:8" s="2" customFormat="1">
      <c r="A1274" s="5" t="s">
        <v>1844</v>
      </c>
      <c r="B1274" s="2" t="s">
        <v>1438</v>
      </c>
      <c r="C1274" s="2" t="s">
        <v>1219</v>
      </c>
      <c r="D1274" s="26">
        <v>110000</v>
      </c>
      <c r="E1274" s="2">
        <v>610612</v>
      </c>
      <c r="F1274" s="2">
        <v>610110</v>
      </c>
      <c r="G1274" s="32">
        <f>29346+968</f>
        <v>30314</v>
      </c>
      <c r="H1274" s="32">
        <f>29346+968</f>
        <v>30314</v>
      </c>
    </row>
    <row r="1275" spans="1:8" s="2" customFormat="1">
      <c r="A1275" s="5" t="s">
        <v>1845</v>
      </c>
      <c r="B1275" s="2" t="s">
        <v>1439</v>
      </c>
      <c r="C1275" s="2" t="s">
        <v>1219</v>
      </c>
      <c r="D1275" s="26">
        <v>110000</v>
      </c>
      <c r="E1275" s="2">
        <v>610612</v>
      </c>
      <c r="F1275" s="2">
        <v>610110</v>
      </c>
      <c r="G1275" s="32">
        <f>32695+883</f>
        <v>33578</v>
      </c>
      <c r="H1275" s="32">
        <f>32695+883</f>
        <v>33578</v>
      </c>
    </row>
    <row r="1276" spans="1:8" s="2" customFormat="1">
      <c r="A1276" s="5" t="s">
        <v>1846</v>
      </c>
      <c r="B1276" s="2" t="s">
        <v>1436</v>
      </c>
      <c r="C1276" s="2" t="s">
        <v>1219</v>
      </c>
      <c r="D1276" s="26">
        <v>110000</v>
      </c>
      <c r="E1276" s="2">
        <v>610612</v>
      </c>
      <c r="F1276" s="2">
        <v>610110</v>
      </c>
      <c r="G1276" s="32">
        <f>38608+888</f>
        <v>39496</v>
      </c>
      <c r="H1276" s="32">
        <f>38608+888</f>
        <v>39496</v>
      </c>
    </row>
    <row r="1277" spans="1:8" s="2" customFormat="1">
      <c r="A1277" s="15" t="s">
        <v>1084</v>
      </c>
      <c r="B1277" s="2" t="s">
        <v>2837</v>
      </c>
      <c r="C1277" s="2" t="s">
        <v>1608</v>
      </c>
      <c r="D1277" s="26">
        <v>110000</v>
      </c>
      <c r="E1277" s="2">
        <v>610612</v>
      </c>
      <c r="F1277" s="2">
        <v>610210</v>
      </c>
      <c r="G1277" s="32">
        <f>16375+622</f>
        <v>16997</v>
      </c>
      <c r="H1277" s="32">
        <f>16375+622</f>
        <v>16997</v>
      </c>
    </row>
    <row r="1278" spans="1:8" s="2" customFormat="1">
      <c r="D1278" s="26">
        <v>110000</v>
      </c>
      <c r="E1278" s="2">
        <v>230100</v>
      </c>
      <c r="F1278" s="2">
        <v>610210</v>
      </c>
      <c r="G1278" s="32">
        <f>13098+367</f>
        <v>13465</v>
      </c>
      <c r="H1278" s="32"/>
    </row>
    <row r="1279" spans="1:8" s="2" customFormat="1">
      <c r="D1279" s="26"/>
      <c r="E1279" s="2" t="s">
        <v>2880</v>
      </c>
      <c r="G1279" s="32">
        <f>G1277+G1278</f>
        <v>30462</v>
      </c>
      <c r="H1279" s="32">
        <f>H1277+H1278</f>
        <v>16997</v>
      </c>
    </row>
    <row r="1280" spans="1:8" s="2" customFormat="1">
      <c r="A1280" s="5" t="s">
        <v>1847</v>
      </c>
      <c r="B1280" s="2" t="s">
        <v>1441</v>
      </c>
      <c r="C1280" s="2" t="s">
        <v>2877</v>
      </c>
      <c r="D1280" s="26">
        <v>110000</v>
      </c>
      <c r="E1280" s="2">
        <v>610612</v>
      </c>
      <c r="F1280" s="2">
        <v>610410</v>
      </c>
      <c r="G1280" s="32">
        <f>26841+752</f>
        <v>27593</v>
      </c>
      <c r="H1280" s="32">
        <f>26841+752</f>
        <v>27593</v>
      </c>
    </row>
    <row r="1281" spans="1:8" s="2" customFormat="1">
      <c r="A1281" s="5" t="s">
        <v>1848</v>
      </c>
      <c r="B1281" s="2" t="s">
        <v>1056</v>
      </c>
      <c r="C1281" s="2" t="s">
        <v>1219</v>
      </c>
      <c r="D1281" s="26">
        <v>110000</v>
      </c>
      <c r="E1281" s="2">
        <v>610612</v>
      </c>
      <c r="F1281" s="2">
        <v>610110</v>
      </c>
      <c r="G1281" s="32">
        <v>27500</v>
      </c>
      <c r="H1281" s="32">
        <v>27500</v>
      </c>
    </row>
    <row r="1282" spans="1:8" s="2" customFormat="1">
      <c r="A1282" s="5" t="s">
        <v>1849</v>
      </c>
      <c r="B1282" s="2" t="s">
        <v>1057</v>
      </c>
      <c r="C1282" s="2" t="s">
        <v>1219</v>
      </c>
      <c r="D1282" s="26">
        <v>110000</v>
      </c>
      <c r="E1282" s="2">
        <v>610612</v>
      </c>
      <c r="F1282" s="2">
        <v>610110</v>
      </c>
      <c r="G1282" s="32">
        <v>27500</v>
      </c>
      <c r="H1282" s="32">
        <v>27500</v>
      </c>
    </row>
    <row r="1283" spans="1:8" s="2" customFormat="1">
      <c r="A1283" s="5" t="s">
        <v>1442</v>
      </c>
      <c r="C1283" s="2" t="s">
        <v>1611</v>
      </c>
      <c r="D1283" s="26">
        <v>110000</v>
      </c>
      <c r="E1283" s="2">
        <v>610612</v>
      </c>
      <c r="F1283" s="2">
        <v>620000</v>
      </c>
      <c r="G1283" s="32">
        <v>71577</v>
      </c>
      <c r="H1283" s="32">
        <v>71577</v>
      </c>
    </row>
    <row r="1284" spans="1:8" s="2" customFormat="1">
      <c r="A1284" s="5" t="s">
        <v>1443</v>
      </c>
      <c r="C1284" s="2" t="s">
        <v>2950</v>
      </c>
      <c r="D1284" s="26">
        <v>110000</v>
      </c>
      <c r="E1284" s="2">
        <v>610612</v>
      </c>
      <c r="F1284" s="2">
        <v>610000</v>
      </c>
      <c r="G1284" s="36"/>
      <c r="H1284" s="36"/>
    </row>
    <row r="1285" spans="1:8" s="2" customFormat="1">
      <c r="C1285" s="2" t="s">
        <v>2951</v>
      </c>
      <c r="D1285" s="26">
        <v>110000</v>
      </c>
      <c r="E1285" s="2">
        <v>610612</v>
      </c>
      <c r="F1285" s="2">
        <v>630000</v>
      </c>
      <c r="G1285" s="32">
        <f>(SUM(G1267:G1284)-G1270-G1279)*0.16</f>
        <v>73489.440000000002</v>
      </c>
      <c r="H1285" s="32">
        <f>(SUM(H1267:H1284)-H1270-H1279)*0.16</f>
        <v>69019.680000000008</v>
      </c>
    </row>
    <row r="1286" spans="1:8" s="2" customFormat="1">
      <c r="C1286" s="8" t="s">
        <v>1129</v>
      </c>
      <c r="D1286" s="26"/>
      <c r="G1286" s="32">
        <f>SUM(G1267:G1285)-G1270-G1279</f>
        <v>532798.43999999994</v>
      </c>
      <c r="H1286" s="32">
        <f>SUM(H1267:H1285)-H1270-H1279</f>
        <v>500392.68000000005</v>
      </c>
    </row>
    <row r="1287" spans="1:8" s="2" customFormat="1">
      <c r="C1287" s="2" t="s">
        <v>2234</v>
      </c>
      <c r="D1287" s="26">
        <v>110000</v>
      </c>
      <c r="E1287" s="2">
        <v>610612</v>
      </c>
      <c r="F1287" s="2">
        <v>710000</v>
      </c>
      <c r="G1287" s="32">
        <v>61661</v>
      </c>
      <c r="H1287" s="32">
        <v>61661</v>
      </c>
    </row>
    <row r="1288" spans="1:8" s="2" customFormat="1">
      <c r="C1288" s="2" t="s">
        <v>2147</v>
      </c>
      <c r="D1288" s="26">
        <v>110000</v>
      </c>
      <c r="E1288" s="2">
        <v>610612</v>
      </c>
      <c r="F1288" s="2">
        <v>790700</v>
      </c>
      <c r="G1288" s="32">
        <f>H1288</f>
        <v>56205.368000000009</v>
      </c>
      <c r="H1288" s="32">
        <f>(H1286+H1287)*0.1</f>
        <v>56205.368000000009</v>
      </c>
    </row>
    <row r="1289" spans="1:8" s="2" customFormat="1">
      <c r="C1289" s="8" t="s">
        <v>2235</v>
      </c>
      <c r="D1289" s="26"/>
      <c r="G1289" s="32">
        <f>SUM(G1286:G1288)</f>
        <v>650664.80799999996</v>
      </c>
      <c r="H1289" s="32">
        <f>SUM(H1286:H1288)</f>
        <v>618259.04800000007</v>
      </c>
    </row>
    <row r="1290" spans="1:8" s="2" customFormat="1">
      <c r="D1290" s="26"/>
      <c r="G1290" s="32"/>
      <c r="H1290" s="32"/>
    </row>
    <row r="1291" spans="1:8" s="2" customFormat="1">
      <c r="A1291" s="5" t="s">
        <v>2516</v>
      </c>
      <c r="B1291" s="2" t="s">
        <v>2957</v>
      </c>
      <c r="G1291" s="32"/>
      <c r="H1291" s="32"/>
    </row>
    <row r="1292" spans="1:8" s="2" customFormat="1">
      <c r="A1292" s="5"/>
      <c r="G1292" s="32"/>
      <c r="H1292" s="32"/>
    </row>
    <row r="1293" spans="1:8" s="2" customFormat="1">
      <c r="A1293" s="6" t="s">
        <v>3067</v>
      </c>
      <c r="B1293" s="2" t="s">
        <v>1982</v>
      </c>
      <c r="C1293" s="2" t="s">
        <v>1029</v>
      </c>
      <c r="D1293" s="2">
        <v>110000</v>
      </c>
      <c r="E1293" s="2">
        <v>610710</v>
      </c>
      <c r="F1293" s="2">
        <v>610110</v>
      </c>
      <c r="G1293" s="32">
        <f>60403+1812+2000</f>
        <v>64215</v>
      </c>
      <c r="H1293" s="32">
        <f>60403+1812+2000</f>
        <v>64215</v>
      </c>
    </row>
    <row r="1294" spans="1:8" s="2" customFormat="1">
      <c r="A1294" s="6" t="s">
        <v>3068</v>
      </c>
      <c r="B1294" s="2" t="s">
        <v>2958</v>
      </c>
      <c r="C1294" s="2" t="s">
        <v>2490</v>
      </c>
      <c r="D1294" s="2">
        <v>110000</v>
      </c>
      <c r="E1294" s="2">
        <v>610710</v>
      </c>
      <c r="F1294" s="2">
        <v>610110</v>
      </c>
      <c r="G1294" s="32">
        <f>61185+1652</f>
        <v>62837</v>
      </c>
      <c r="H1294" s="32">
        <f>61185+1652</f>
        <v>62837</v>
      </c>
    </row>
    <row r="1295" spans="1:8" s="2" customFormat="1">
      <c r="A1295" s="6" t="s">
        <v>3069</v>
      </c>
      <c r="B1295" s="2" t="s">
        <v>2959</v>
      </c>
      <c r="C1295" s="2" t="s">
        <v>2490</v>
      </c>
      <c r="D1295" s="2">
        <v>110000</v>
      </c>
      <c r="E1295" s="2">
        <v>610710</v>
      </c>
      <c r="F1295" s="2">
        <v>610110</v>
      </c>
      <c r="G1295" s="32">
        <f>64184+1670</f>
        <v>65854</v>
      </c>
      <c r="H1295" s="32">
        <f>64184+1670</f>
        <v>65854</v>
      </c>
    </row>
    <row r="1296" spans="1:8" s="2" customFormat="1">
      <c r="A1296" s="6" t="s">
        <v>3070</v>
      </c>
      <c r="B1296" s="2" t="s">
        <v>2668</v>
      </c>
      <c r="C1296" s="2" t="s">
        <v>2490</v>
      </c>
      <c r="D1296" s="2">
        <v>110000</v>
      </c>
      <c r="E1296" s="2">
        <v>610710</v>
      </c>
      <c r="F1296" s="2">
        <v>610110</v>
      </c>
      <c r="G1296" s="32">
        <f>41846+1500+1300</f>
        <v>44646</v>
      </c>
      <c r="H1296" s="32">
        <f>41846+1500+1300</f>
        <v>44646</v>
      </c>
    </row>
    <row r="1297" spans="1:8" s="2" customFormat="1">
      <c r="A1297" s="6" t="s">
        <v>3071</v>
      </c>
      <c r="B1297" s="2" t="s">
        <v>2669</v>
      </c>
      <c r="C1297" s="2" t="s">
        <v>544</v>
      </c>
      <c r="D1297" s="2">
        <v>110000</v>
      </c>
      <c r="E1297" s="2">
        <v>610710</v>
      </c>
      <c r="F1297" s="2">
        <v>610110</v>
      </c>
      <c r="G1297" s="32">
        <f>40666+1057</f>
        <v>41723</v>
      </c>
      <c r="H1297" s="32">
        <f>40666+1057</f>
        <v>41723</v>
      </c>
    </row>
    <row r="1298" spans="1:8" s="2" customFormat="1">
      <c r="A1298" s="6" t="s">
        <v>3072</v>
      </c>
      <c r="B1298" s="2" t="s">
        <v>2670</v>
      </c>
      <c r="C1298" s="2" t="s">
        <v>148</v>
      </c>
      <c r="D1298" s="2">
        <v>110000</v>
      </c>
      <c r="E1298" s="2">
        <v>610710</v>
      </c>
      <c r="F1298" s="2">
        <v>610110</v>
      </c>
      <c r="G1298" s="32">
        <f>37281+1116</f>
        <v>38397</v>
      </c>
      <c r="H1298" s="32">
        <f>37281+1116</f>
        <v>38397</v>
      </c>
    </row>
    <row r="1299" spans="1:8" s="2" customFormat="1">
      <c r="A1299" s="6" t="s">
        <v>3073</v>
      </c>
      <c r="B1299" s="2" t="s">
        <v>2107</v>
      </c>
      <c r="C1299" s="2" t="s">
        <v>148</v>
      </c>
      <c r="D1299" s="2">
        <v>110000</v>
      </c>
      <c r="E1299" s="2">
        <v>610710</v>
      </c>
      <c r="F1299" s="2">
        <v>610110</v>
      </c>
      <c r="G1299" s="32">
        <f>38106+1143</f>
        <v>39249</v>
      </c>
      <c r="H1299" s="32">
        <f>38106+1143</f>
        <v>39249</v>
      </c>
    </row>
    <row r="1300" spans="1:8" s="2" customFormat="1">
      <c r="A1300" s="6" t="s">
        <v>3074</v>
      </c>
      <c r="B1300" s="2" t="s">
        <v>126</v>
      </c>
      <c r="C1300" s="2" t="s">
        <v>1508</v>
      </c>
      <c r="D1300" s="2">
        <v>110000</v>
      </c>
      <c r="E1300" s="2">
        <v>610710</v>
      </c>
      <c r="F1300" s="2">
        <v>610110</v>
      </c>
      <c r="G1300" s="32">
        <f>29374+500+1039</f>
        <v>30913</v>
      </c>
      <c r="H1300" s="32">
        <f>29374+500+1039</f>
        <v>30913</v>
      </c>
    </row>
    <row r="1301" spans="1:8" s="2" customFormat="1">
      <c r="A1301" s="6" t="s">
        <v>3075</v>
      </c>
      <c r="B1301" s="2" t="s">
        <v>127</v>
      </c>
      <c r="C1301" s="2" t="s">
        <v>2106</v>
      </c>
      <c r="D1301" s="2">
        <v>110000</v>
      </c>
      <c r="E1301" s="2">
        <v>610710</v>
      </c>
      <c r="F1301" s="2">
        <v>610110</v>
      </c>
      <c r="G1301" s="32">
        <f>21107+591</f>
        <v>21698</v>
      </c>
      <c r="H1301" s="32">
        <f>21107+591</f>
        <v>21698</v>
      </c>
    </row>
    <row r="1302" spans="1:8" s="2" customFormat="1">
      <c r="A1302" s="6"/>
      <c r="D1302" s="2">
        <v>110000</v>
      </c>
      <c r="E1302" s="2">
        <v>610300</v>
      </c>
      <c r="F1302" s="2">
        <v>610110</v>
      </c>
      <c r="G1302" s="32">
        <v>5000</v>
      </c>
      <c r="H1302" s="32">
        <v>0</v>
      </c>
    </row>
    <row r="1303" spans="1:8" s="2" customFormat="1">
      <c r="A1303" s="6"/>
      <c r="E1303" s="2" t="s">
        <v>2880</v>
      </c>
      <c r="G1303" s="32">
        <f>SUM(G1301:G1302)</f>
        <v>26698</v>
      </c>
      <c r="H1303" s="32">
        <f>SUM(H1301:H1302)</f>
        <v>21698</v>
      </c>
    </row>
    <row r="1304" spans="1:8" s="2" customFormat="1">
      <c r="A1304" s="6" t="s">
        <v>3076</v>
      </c>
      <c r="B1304" s="2" t="s">
        <v>128</v>
      </c>
      <c r="C1304" s="2" t="s">
        <v>2106</v>
      </c>
      <c r="D1304" s="2">
        <v>110000</v>
      </c>
      <c r="E1304" s="2">
        <v>610710</v>
      </c>
      <c r="F1304" s="2">
        <v>610110</v>
      </c>
      <c r="G1304" s="32">
        <f>12701+330</f>
        <v>13031</v>
      </c>
      <c r="H1304" s="32">
        <f>12701+330</f>
        <v>13031</v>
      </c>
    </row>
    <row r="1305" spans="1:8" s="2" customFormat="1">
      <c r="A1305" s="6" t="s">
        <v>3077</v>
      </c>
      <c r="B1305" s="2" t="s">
        <v>100</v>
      </c>
      <c r="C1305" s="2" t="s">
        <v>2106</v>
      </c>
      <c r="D1305" s="2">
        <v>110000</v>
      </c>
      <c r="E1305" s="2">
        <v>610710</v>
      </c>
      <c r="F1305" s="2">
        <v>610110</v>
      </c>
      <c r="G1305" s="32">
        <f>21117+591</f>
        <v>21708</v>
      </c>
      <c r="H1305" s="32">
        <f>21117+591</f>
        <v>21708</v>
      </c>
    </row>
    <row r="1306" spans="1:8" s="2" customFormat="1">
      <c r="A1306" s="6"/>
      <c r="D1306" s="2">
        <v>110000</v>
      </c>
      <c r="E1306" s="2">
        <v>610300</v>
      </c>
      <c r="F1306" s="2">
        <v>610110</v>
      </c>
      <c r="G1306" s="32">
        <v>9000</v>
      </c>
      <c r="H1306" s="32">
        <v>0</v>
      </c>
    </row>
    <row r="1307" spans="1:8" s="2" customFormat="1">
      <c r="A1307" s="6"/>
      <c r="E1307" s="2" t="s">
        <v>2880</v>
      </c>
      <c r="G1307" s="32">
        <f>SUM(G1305:G1306)</f>
        <v>30708</v>
      </c>
      <c r="H1307" s="32">
        <f>SUM(H1305:H1306)</f>
        <v>21708</v>
      </c>
    </row>
    <row r="1308" spans="1:8" s="2" customFormat="1">
      <c r="A1308" s="6" t="s">
        <v>3078</v>
      </c>
      <c r="B1308" s="2" t="s">
        <v>101</v>
      </c>
      <c r="C1308" s="2" t="s">
        <v>1608</v>
      </c>
      <c r="D1308" s="2">
        <v>110000</v>
      </c>
      <c r="E1308" s="2">
        <v>610710</v>
      </c>
      <c r="F1308" s="2">
        <v>610210</v>
      </c>
      <c r="G1308" s="32">
        <f>20518+575</f>
        <v>21093</v>
      </c>
      <c r="H1308" s="32">
        <f>20518+575</f>
        <v>21093</v>
      </c>
    </row>
    <row r="1309" spans="1:8" s="2" customFormat="1">
      <c r="A1309" s="6" t="s">
        <v>3079</v>
      </c>
      <c r="B1309" s="2" t="s">
        <v>102</v>
      </c>
      <c r="C1309" s="2" t="s">
        <v>2170</v>
      </c>
      <c r="D1309" s="2">
        <v>110000</v>
      </c>
      <c r="E1309" s="2">
        <v>610710</v>
      </c>
      <c r="F1309" s="2">
        <v>610210</v>
      </c>
      <c r="G1309" s="32">
        <f>15119+410</f>
        <v>15529</v>
      </c>
      <c r="H1309" s="32">
        <f>15119+410</f>
        <v>15529</v>
      </c>
    </row>
    <row r="1310" spans="1:8" s="2" customFormat="1">
      <c r="A1310" s="6"/>
      <c r="G1310" s="32"/>
      <c r="H1310" s="32"/>
    </row>
    <row r="1311" spans="1:8" s="2" customFormat="1">
      <c r="A1311" s="6"/>
      <c r="E1311" s="2" t="s">
        <v>2880</v>
      </c>
      <c r="G1311" s="32">
        <f>SUM(G1309:G1310)</f>
        <v>15529</v>
      </c>
      <c r="H1311" s="32">
        <f>SUM(H1309:H1310)</f>
        <v>15529</v>
      </c>
    </row>
    <row r="1312" spans="1:8" s="2" customFormat="1">
      <c r="A1312" s="6" t="s">
        <v>3080</v>
      </c>
      <c r="B1312" s="2" t="s">
        <v>103</v>
      </c>
      <c r="C1312" s="2" t="s">
        <v>1023</v>
      </c>
      <c r="D1312" s="2">
        <v>110000</v>
      </c>
      <c r="E1312" s="2">
        <v>610710</v>
      </c>
      <c r="F1312" s="2">
        <v>610410</v>
      </c>
      <c r="G1312" s="32">
        <f>22226+1778+622+50-457</f>
        <v>24219</v>
      </c>
      <c r="H1312" s="32">
        <f>22226+1778+622+50-457</f>
        <v>24219</v>
      </c>
    </row>
    <row r="1313" spans="1:8" s="2" customFormat="1">
      <c r="A1313" s="6" t="s">
        <v>3081</v>
      </c>
      <c r="B1313" s="2" t="s">
        <v>1067</v>
      </c>
      <c r="C1313" s="2" t="s">
        <v>2106</v>
      </c>
      <c r="D1313" s="2">
        <v>110000</v>
      </c>
      <c r="E1313" s="2">
        <v>610710</v>
      </c>
      <c r="F1313" s="2">
        <v>610110</v>
      </c>
      <c r="G1313" s="32">
        <f>15826+555</f>
        <v>16381</v>
      </c>
      <c r="H1313" s="32">
        <f>15826+555</f>
        <v>16381</v>
      </c>
    </row>
    <row r="1314" spans="1:8" s="2" customFormat="1">
      <c r="A1314" s="6" t="s">
        <v>3082</v>
      </c>
      <c r="B1314" s="2" t="s">
        <v>1068</v>
      </c>
      <c r="C1314" s="2" t="s">
        <v>148</v>
      </c>
      <c r="D1314" s="2">
        <v>110000</v>
      </c>
      <c r="E1314" s="2">
        <v>610710</v>
      </c>
      <c r="F1314" s="2">
        <v>610110</v>
      </c>
      <c r="G1314" s="32">
        <f>35000+1597</f>
        <v>36597</v>
      </c>
      <c r="H1314" s="32">
        <f>35000+1597</f>
        <v>36597</v>
      </c>
    </row>
    <row r="1315" spans="1:8" s="2" customFormat="1">
      <c r="A1315" s="6"/>
      <c r="C1315" s="2" t="s">
        <v>1611</v>
      </c>
      <c r="D1315" s="2">
        <v>110000</v>
      </c>
      <c r="E1315" s="2">
        <v>610710</v>
      </c>
      <c r="F1315" s="2">
        <v>620000</v>
      </c>
      <c r="G1315" s="37">
        <f>9785</f>
        <v>9785</v>
      </c>
      <c r="H1315" s="37">
        <f>9785</f>
        <v>9785</v>
      </c>
    </row>
    <row r="1316" spans="1:8" s="2" customFormat="1">
      <c r="A1316" s="6"/>
      <c r="C1316" s="2" t="s">
        <v>2951</v>
      </c>
      <c r="D1316" s="2">
        <v>110000</v>
      </c>
      <c r="E1316" s="2">
        <v>610710</v>
      </c>
      <c r="F1316" s="2">
        <v>630000</v>
      </c>
      <c r="G1316" s="32">
        <f>(SUM(G1293:G1315)-G1303-G1307-G1311)*0.21+553</f>
        <v>122746.75</v>
      </c>
      <c r="H1316" s="32">
        <f>(SUM(H1293:H1315)-H1303-H1307-H1311)*0.21+553</f>
        <v>119806.75</v>
      </c>
    </row>
    <row r="1317" spans="1:8" s="2" customFormat="1">
      <c r="A1317" s="6"/>
      <c r="C1317" s="8" t="s">
        <v>1129</v>
      </c>
      <c r="G1317" s="32">
        <f>SUM(G1293:G1316)-G1303-G1307-G1311</f>
        <v>704621.75</v>
      </c>
      <c r="H1317" s="32">
        <f>SUM(H1293:H1316)-H1303-H1307-H1311</f>
        <v>687681.75</v>
      </c>
    </row>
    <row r="1318" spans="1:8" s="2" customFormat="1">
      <c r="A1318" s="5" t="s">
        <v>2516</v>
      </c>
      <c r="B1318" s="2" t="s">
        <v>2957</v>
      </c>
      <c r="C1318" s="8"/>
      <c r="G1318" s="32"/>
      <c r="H1318" s="32"/>
    </row>
    <row r="1319" spans="1:8" s="2" customFormat="1">
      <c r="A1319" s="6"/>
      <c r="C1319" s="8"/>
      <c r="G1319" s="32"/>
      <c r="H1319" s="32"/>
    </row>
    <row r="1320" spans="1:8" s="2" customFormat="1">
      <c r="A1320" s="6"/>
      <c r="C1320" s="2" t="s">
        <v>2234</v>
      </c>
      <c r="D1320" s="2">
        <v>110000</v>
      </c>
      <c r="E1320" s="2">
        <v>610710</v>
      </c>
      <c r="F1320" s="2">
        <v>710000</v>
      </c>
      <c r="G1320" s="32">
        <v>16635</v>
      </c>
      <c r="H1320" s="32">
        <v>16635</v>
      </c>
    </row>
    <row r="1321" spans="1:8" s="2" customFormat="1">
      <c r="A1321" s="6"/>
      <c r="C1321" s="2" t="s">
        <v>1499</v>
      </c>
      <c r="D1321" s="2">
        <v>110000</v>
      </c>
      <c r="E1321" s="2">
        <v>610710</v>
      </c>
      <c r="F1321" s="2">
        <v>710000</v>
      </c>
      <c r="G1321" s="32">
        <f>16750-6000</f>
        <v>10750</v>
      </c>
      <c r="H1321" s="32">
        <f>16750-6000</f>
        <v>10750</v>
      </c>
    </row>
    <row r="1322" spans="1:8" s="2" customFormat="1">
      <c r="A1322" s="6"/>
      <c r="C1322" s="2" t="s">
        <v>1500</v>
      </c>
      <c r="D1322" s="2">
        <v>110000</v>
      </c>
      <c r="E1322" s="2">
        <v>610710</v>
      </c>
      <c r="F1322" s="2">
        <v>710000</v>
      </c>
      <c r="G1322" s="32">
        <v>3125</v>
      </c>
      <c r="H1322" s="32">
        <v>3125</v>
      </c>
    </row>
    <row r="1323" spans="1:8" s="2" customFormat="1">
      <c r="A1323" s="6"/>
      <c r="C1323" s="8" t="s">
        <v>2235</v>
      </c>
      <c r="G1323" s="32">
        <f>SUM(G1317:G1322)</f>
        <v>735131.75</v>
      </c>
      <c r="H1323" s="32">
        <f>SUM(H1317:H1322)</f>
        <v>718191.75</v>
      </c>
    </row>
    <row r="1324" spans="1:8" s="2" customFormat="1">
      <c r="A1324" s="5" t="s">
        <v>2517</v>
      </c>
      <c r="B1324" s="2" t="s">
        <v>1501</v>
      </c>
      <c r="G1324" s="32"/>
      <c r="H1324" s="32"/>
    </row>
    <row r="1325" spans="1:8" s="2" customFormat="1">
      <c r="A1325" s="5"/>
      <c r="G1325" s="32"/>
      <c r="H1325" s="32"/>
    </row>
    <row r="1326" spans="1:8" s="2" customFormat="1">
      <c r="A1326" s="5"/>
      <c r="C1326" s="2" t="s">
        <v>2234</v>
      </c>
      <c r="D1326" s="2">
        <v>110000</v>
      </c>
      <c r="E1326" s="2">
        <v>610711</v>
      </c>
      <c r="F1326" s="2">
        <v>710000</v>
      </c>
      <c r="G1326" s="32">
        <v>22000</v>
      </c>
      <c r="H1326" s="32">
        <v>22000</v>
      </c>
    </row>
    <row r="1327" spans="1:8" s="2" customFormat="1">
      <c r="A1327" s="5"/>
      <c r="C1327" s="8" t="s">
        <v>2235</v>
      </c>
      <c r="G1327" s="32">
        <f>G1326</f>
        <v>22000</v>
      </c>
      <c r="H1327" s="32">
        <f>H1326</f>
        <v>22000</v>
      </c>
    </row>
    <row r="1328" spans="1:8" s="2" customFormat="1">
      <c r="A1328" s="5"/>
      <c r="G1328" s="32"/>
      <c r="H1328" s="32"/>
    </row>
    <row r="1329" spans="1:8" s="2" customFormat="1">
      <c r="A1329" s="5" t="s">
        <v>2949</v>
      </c>
      <c r="B1329" s="2" t="s">
        <v>2961</v>
      </c>
      <c r="G1329" s="32"/>
      <c r="H1329" s="32"/>
    </row>
    <row r="1330" spans="1:8" s="2" customFormat="1">
      <c r="A1330" s="5"/>
      <c r="G1330" s="32"/>
      <c r="H1330" s="32"/>
    </row>
    <row r="1331" spans="1:8" s="2" customFormat="1">
      <c r="A1331" s="6"/>
      <c r="C1331" s="2" t="s">
        <v>2495</v>
      </c>
      <c r="D1331" s="2">
        <v>110000</v>
      </c>
      <c r="E1331" s="2">
        <v>610713</v>
      </c>
      <c r="F1331" s="2">
        <v>610110</v>
      </c>
      <c r="G1331" s="32"/>
      <c r="H1331" s="32"/>
    </row>
    <row r="1332" spans="1:8" s="2" customFormat="1">
      <c r="A1332" s="6" t="s">
        <v>3094</v>
      </c>
      <c r="B1332" s="2" t="s">
        <v>2967</v>
      </c>
      <c r="C1332" s="2" t="s">
        <v>2490</v>
      </c>
      <c r="D1332" s="2">
        <v>110000</v>
      </c>
      <c r="E1332" s="2">
        <v>610713</v>
      </c>
      <c r="F1332" s="2">
        <v>610110</v>
      </c>
      <c r="G1332" s="32">
        <f>43097+1207</f>
        <v>44304</v>
      </c>
      <c r="H1332" s="32">
        <f>43097+1207</f>
        <v>44304</v>
      </c>
    </row>
    <row r="1333" spans="1:8" s="2" customFormat="1">
      <c r="A1333" s="6" t="s">
        <v>3095</v>
      </c>
      <c r="B1333" s="2" t="s">
        <v>2829</v>
      </c>
      <c r="C1333" s="2" t="s">
        <v>2490</v>
      </c>
      <c r="D1333" s="2">
        <v>110000</v>
      </c>
      <c r="E1333" s="2">
        <v>610713</v>
      </c>
      <c r="F1333" s="2">
        <v>610110</v>
      </c>
      <c r="G1333" s="32">
        <f>41740+1169</f>
        <v>42909</v>
      </c>
      <c r="H1333" s="32">
        <f>41740+1169</f>
        <v>42909</v>
      </c>
    </row>
    <row r="1334" spans="1:8" s="2" customFormat="1">
      <c r="A1334" s="6" t="s">
        <v>3096</v>
      </c>
      <c r="B1334" s="2" t="s">
        <v>2830</v>
      </c>
      <c r="C1334" s="2" t="s">
        <v>544</v>
      </c>
      <c r="D1334" s="2">
        <v>110000</v>
      </c>
      <c r="E1334" s="2">
        <v>610713</v>
      </c>
      <c r="F1334" s="2">
        <v>610110</v>
      </c>
      <c r="G1334" s="32">
        <f>46131+1292</f>
        <v>47423</v>
      </c>
      <c r="H1334" s="32">
        <f>46131+1292</f>
        <v>47423</v>
      </c>
    </row>
    <row r="1335" spans="1:8" s="2" customFormat="1">
      <c r="A1335" s="6" t="s">
        <v>3097</v>
      </c>
      <c r="B1335" s="2" t="s">
        <v>2831</v>
      </c>
      <c r="C1335" s="2" t="s">
        <v>148</v>
      </c>
      <c r="D1335" s="2">
        <v>110000</v>
      </c>
      <c r="E1335" s="2">
        <v>610713</v>
      </c>
      <c r="F1335" s="2">
        <v>610110</v>
      </c>
      <c r="G1335" s="32">
        <f>42166+1180</f>
        <v>43346</v>
      </c>
      <c r="H1335" s="32">
        <f>42166+1180</f>
        <v>43346</v>
      </c>
    </row>
    <row r="1336" spans="1:8" s="2" customFormat="1">
      <c r="A1336" s="6" t="s">
        <v>3098</v>
      </c>
      <c r="B1336" s="2" t="s">
        <v>2832</v>
      </c>
      <c r="C1336" s="2" t="s">
        <v>148</v>
      </c>
      <c r="D1336" s="2">
        <v>110000</v>
      </c>
      <c r="E1336" s="2">
        <v>610713</v>
      </c>
      <c r="F1336" s="2">
        <v>610110</v>
      </c>
      <c r="G1336" s="32">
        <f>38124+1067</f>
        <v>39191</v>
      </c>
      <c r="H1336" s="32">
        <f>38124+1067</f>
        <v>39191</v>
      </c>
    </row>
    <row r="1337" spans="1:8" s="2" customFormat="1">
      <c r="A1337" s="6" t="s">
        <v>3099</v>
      </c>
      <c r="B1337" s="2" t="s">
        <v>2833</v>
      </c>
      <c r="C1337" s="2" t="s">
        <v>1141</v>
      </c>
      <c r="D1337" s="2">
        <v>110000</v>
      </c>
      <c r="E1337" s="2">
        <v>610713</v>
      </c>
      <c r="F1337" s="2">
        <v>610410</v>
      </c>
      <c r="G1337" s="32">
        <f>27817+779</f>
        <v>28596</v>
      </c>
      <c r="H1337" s="32">
        <f>27817+779</f>
        <v>28596</v>
      </c>
    </row>
    <row r="1338" spans="1:8" s="2" customFormat="1">
      <c r="A1338" s="6" t="s">
        <v>3100</v>
      </c>
      <c r="C1338" s="2" t="s">
        <v>1141</v>
      </c>
      <c r="D1338" s="2">
        <v>110000</v>
      </c>
      <c r="E1338" s="2">
        <v>610713</v>
      </c>
      <c r="F1338" s="2">
        <v>610410</v>
      </c>
      <c r="G1338" s="32">
        <v>12912</v>
      </c>
      <c r="H1338" s="32">
        <v>12912</v>
      </c>
    </row>
    <row r="1339" spans="1:8" s="2" customFormat="1">
      <c r="A1339" s="6" t="s">
        <v>3101</v>
      </c>
      <c r="B1339" s="2" t="s">
        <v>1535</v>
      </c>
      <c r="C1339" s="2" t="s">
        <v>1609</v>
      </c>
      <c r="D1339" s="2">
        <v>110000</v>
      </c>
      <c r="E1339" s="2">
        <v>610713</v>
      </c>
      <c r="F1339" s="2">
        <v>610410</v>
      </c>
      <c r="G1339" s="32">
        <f>15595+437</f>
        <v>16032</v>
      </c>
      <c r="H1339" s="32">
        <f>15595+437</f>
        <v>16032</v>
      </c>
    </row>
    <row r="1340" spans="1:8" s="2" customFormat="1">
      <c r="A1340" s="6"/>
      <c r="C1340" s="2" t="s">
        <v>1611</v>
      </c>
      <c r="D1340" s="2">
        <v>110000</v>
      </c>
      <c r="E1340" s="2">
        <v>610713</v>
      </c>
      <c r="F1340" s="2">
        <v>620000</v>
      </c>
      <c r="G1340" s="32"/>
      <c r="H1340" s="32"/>
    </row>
    <row r="1341" spans="1:8" s="2" customFormat="1">
      <c r="A1341" s="6"/>
      <c r="C1341" s="2" t="s">
        <v>2950</v>
      </c>
      <c r="D1341" s="2">
        <v>110000</v>
      </c>
      <c r="E1341" s="2">
        <v>610713</v>
      </c>
      <c r="F1341" s="2">
        <v>610000</v>
      </c>
      <c r="G1341" s="36"/>
      <c r="H1341" s="36"/>
    </row>
    <row r="1342" spans="1:8" s="2" customFormat="1">
      <c r="A1342" s="5"/>
      <c r="C1342" s="2" t="s">
        <v>2951</v>
      </c>
      <c r="D1342" s="2">
        <v>110000</v>
      </c>
      <c r="E1342" s="2">
        <v>610713</v>
      </c>
      <c r="F1342" s="2">
        <v>630000</v>
      </c>
      <c r="G1342" s="32">
        <f>SUM(G1331:G1341)*0.2</f>
        <v>54942.600000000006</v>
      </c>
      <c r="H1342" s="32">
        <f>SUM(H1331:H1341)*0.2</f>
        <v>54942.600000000006</v>
      </c>
    </row>
    <row r="1343" spans="1:8" s="2" customFormat="1">
      <c r="A1343" s="5"/>
      <c r="C1343" s="8" t="s">
        <v>1129</v>
      </c>
      <c r="G1343" s="32">
        <f>SUM(G1331:G1342)</f>
        <v>329655.59999999998</v>
      </c>
      <c r="H1343" s="32">
        <f>SUM(H1331:H1342)</f>
        <v>329655.59999999998</v>
      </c>
    </row>
    <row r="1344" spans="1:8" s="2" customFormat="1">
      <c r="A1344" s="5"/>
      <c r="C1344" s="2" t="s">
        <v>2234</v>
      </c>
      <c r="D1344" s="2">
        <v>110000</v>
      </c>
      <c r="E1344" s="2">
        <v>610713</v>
      </c>
      <c r="F1344" s="2">
        <v>710000</v>
      </c>
      <c r="G1344" s="32">
        <v>39783</v>
      </c>
      <c r="H1344" s="32">
        <v>39783</v>
      </c>
    </row>
    <row r="1345" spans="1:8" s="2" customFormat="1">
      <c r="A1345" s="5"/>
      <c r="C1345" s="8" t="s">
        <v>2235</v>
      </c>
      <c r="G1345" s="32">
        <f>G1343+G1344</f>
        <v>369438.6</v>
      </c>
      <c r="H1345" s="32">
        <f>H1343+H1344</f>
        <v>369438.6</v>
      </c>
    </row>
    <row r="1346" spans="1:8" s="2" customFormat="1">
      <c r="A1346" s="5"/>
      <c r="C1346" s="8"/>
      <c r="G1346" s="32"/>
      <c r="H1346" s="32"/>
    </row>
    <row r="1347" spans="1:8" s="2" customFormat="1">
      <c r="A1347" s="5" t="s">
        <v>2946</v>
      </c>
      <c r="B1347" s="2" t="s">
        <v>2973</v>
      </c>
      <c r="G1347" s="32"/>
      <c r="H1347" s="32"/>
    </row>
    <row r="1348" spans="1:8" s="2" customFormat="1">
      <c r="A1348" s="5"/>
      <c r="G1348" s="32"/>
      <c r="H1348" s="32"/>
    </row>
    <row r="1349" spans="1:8" s="2" customFormat="1">
      <c r="A1349" s="5"/>
      <c r="C1349" s="2" t="s">
        <v>2234</v>
      </c>
      <c r="D1349" s="2">
        <v>110000</v>
      </c>
      <c r="E1349" s="2">
        <v>610714</v>
      </c>
      <c r="F1349" s="2">
        <v>710000</v>
      </c>
      <c r="G1349" s="32">
        <f>14700-2212</f>
        <v>12488</v>
      </c>
      <c r="H1349" s="32">
        <f>14700-2212</f>
        <v>12488</v>
      </c>
    </row>
    <row r="1350" spans="1:8" s="2" customFormat="1">
      <c r="A1350" s="5"/>
      <c r="C1350" s="8" t="s">
        <v>2235</v>
      </c>
      <c r="G1350" s="32">
        <f>SUM(G1349)</f>
        <v>12488</v>
      </c>
      <c r="H1350" s="32">
        <f>SUM(H1349)</f>
        <v>12488</v>
      </c>
    </row>
    <row r="1351" spans="1:8" s="2" customFormat="1">
      <c r="A1351" s="5"/>
      <c r="G1351" s="32"/>
      <c r="H1351" s="32"/>
    </row>
    <row r="1352" spans="1:8" s="2" customFormat="1">
      <c r="A1352" s="5" t="s">
        <v>2528</v>
      </c>
      <c r="B1352" s="2" t="s">
        <v>1188</v>
      </c>
      <c r="G1352" s="32"/>
      <c r="H1352" s="32"/>
    </row>
    <row r="1353" spans="1:8" s="2" customFormat="1">
      <c r="A1353" s="5"/>
      <c r="G1353" s="32"/>
      <c r="H1353" s="32"/>
    </row>
    <row r="1354" spans="1:8" s="2" customFormat="1">
      <c r="A1354" s="6" t="s">
        <v>3175</v>
      </c>
      <c r="B1354" s="2" t="s">
        <v>1189</v>
      </c>
      <c r="C1354" s="2" t="s">
        <v>1029</v>
      </c>
      <c r="D1354" s="2">
        <v>110000</v>
      </c>
      <c r="E1354" s="2">
        <v>610810</v>
      </c>
      <c r="F1354" s="2">
        <v>610110</v>
      </c>
      <c r="G1354" s="32">
        <f>51929+1000+3483</f>
        <v>56412</v>
      </c>
      <c r="H1354" s="32">
        <f>51929+1000+3483</f>
        <v>56412</v>
      </c>
    </row>
    <row r="1355" spans="1:8" s="2" customFormat="1">
      <c r="A1355" s="6" t="s">
        <v>3176</v>
      </c>
      <c r="B1355" s="2" t="s">
        <v>1190</v>
      </c>
      <c r="C1355" s="2" t="s">
        <v>148</v>
      </c>
      <c r="D1355" s="2">
        <v>110000</v>
      </c>
      <c r="E1355" s="2">
        <v>610810</v>
      </c>
      <c r="F1355" s="2">
        <v>610110</v>
      </c>
      <c r="G1355" s="32">
        <f>36067+1017</f>
        <v>37084</v>
      </c>
      <c r="H1355" s="32">
        <f>36067+1017</f>
        <v>37084</v>
      </c>
    </row>
    <row r="1356" spans="1:8" s="2" customFormat="1">
      <c r="A1356" s="6" t="s">
        <v>3177</v>
      </c>
      <c r="B1356" s="2" t="s">
        <v>1191</v>
      </c>
      <c r="C1356" s="2" t="s">
        <v>1609</v>
      </c>
      <c r="D1356" s="2">
        <v>110000</v>
      </c>
      <c r="E1356" s="2">
        <v>610810</v>
      </c>
      <c r="F1356" s="2">
        <v>610410</v>
      </c>
      <c r="G1356" s="32">
        <f>16597+465</f>
        <v>17062</v>
      </c>
      <c r="H1356" s="32">
        <f>16597+465</f>
        <v>17062</v>
      </c>
    </row>
    <row r="1357" spans="1:8" s="2" customFormat="1">
      <c r="A1357" s="6" t="s">
        <v>3178</v>
      </c>
      <c r="B1357" s="2" t="s">
        <v>1630</v>
      </c>
      <c r="C1357" s="2" t="s">
        <v>148</v>
      </c>
      <c r="D1357" s="2">
        <v>110000</v>
      </c>
      <c r="E1357" s="2">
        <v>610810</v>
      </c>
      <c r="F1357" s="2">
        <v>610110</v>
      </c>
      <c r="G1357" s="32">
        <f>34500+2090</f>
        <v>36590</v>
      </c>
      <c r="H1357" s="32">
        <f>34500+2090</f>
        <v>36590</v>
      </c>
    </row>
    <row r="1358" spans="1:8" s="2" customFormat="1">
      <c r="A1358" s="6"/>
      <c r="C1358" s="2" t="s">
        <v>1795</v>
      </c>
      <c r="D1358" s="2">
        <v>110000</v>
      </c>
      <c r="E1358" s="2">
        <v>610810</v>
      </c>
      <c r="F1358" s="2">
        <v>610300</v>
      </c>
      <c r="G1358" s="32">
        <v>1950</v>
      </c>
      <c r="H1358" s="32">
        <v>1950</v>
      </c>
    </row>
    <row r="1359" spans="1:8" s="2" customFormat="1">
      <c r="A1359" s="6"/>
      <c r="C1359" s="2" t="s">
        <v>2950</v>
      </c>
      <c r="D1359" s="2">
        <v>110000</v>
      </c>
      <c r="E1359" s="2">
        <v>610810</v>
      </c>
      <c r="F1359" s="2">
        <v>610000</v>
      </c>
      <c r="G1359" s="36"/>
      <c r="H1359" s="36"/>
    </row>
    <row r="1360" spans="1:8" s="2" customFormat="1">
      <c r="A1360" s="6"/>
      <c r="C1360" s="2" t="s">
        <v>2951</v>
      </c>
      <c r="D1360" s="2">
        <v>110000</v>
      </c>
      <c r="E1360" s="2">
        <v>610810</v>
      </c>
      <c r="F1360" s="2">
        <v>630000</v>
      </c>
      <c r="G1360" s="32">
        <f>SUM(G1354:G1359)*0.2</f>
        <v>29819.600000000002</v>
      </c>
      <c r="H1360" s="32">
        <f>SUM(H1354:H1359)*0.2</f>
        <v>29819.600000000002</v>
      </c>
    </row>
    <row r="1361" spans="1:8" s="2" customFormat="1">
      <c r="A1361" s="6"/>
      <c r="C1361" s="8" t="s">
        <v>1129</v>
      </c>
      <c r="G1361" s="32">
        <f>SUM(G1354:G1360)</f>
        <v>178917.6</v>
      </c>
      <c r="H1361" s="32">
        <f>SUM(H1354:H1360)</f>
        <v>178917.6</v>
      </c>
    </row>
    <row r="1362" spans="1:8" s="2" customFormat="1">
      <c r="A1362" s="6"/>
      <c r="C1362" s="2" t="s">
        <v>2234</v>
      </c>
      <c r="D1362" s="2">
        <v>110000</v>
      </c>
      <c r="E1362" s="2">
        <v>610810</v>
      </c>
      <c r="F1362" s="2">
        <v>710000</v>
      </c>
      <c r="G1362" s="32">
        <f>11628+550</f>
        <v>12178</v>
      </c>
      <c r="H1362" s="32">
        <f>11628+550</f>
        <v>12178</v>
      </c>
    </row>
    <row r="1363" spans="1:8" s="2" customFormat="1">
      <c r="A1363" s="6"/>
      <c r="C1363" s="8" t="s">
        <v>2235</v>
      </c>
      <c r="G1363" s="32">
        <f>G1361+G1362</f>
        <v>191095.6</v>
      </c>
      <c r="H1363" s="32">
        <f>H1361+H1362</f>
        <v>191095.6</v>
      </c>
    </row>
    <row r="1364" spans="1:8" s="2" customFormat="1">
      <c r="A1364" s="6"/>
      <c r="G1364" s="32"/>
      <c r="H1364" s="32"/>
    </row>
    <row r="1365" spans="1:8" s="2" customFormat="1">
      <c r="A1365" s="5" t="s">
        <v>2531</v>
      </c>
      <c r="B1365" s="2" t="s">
        <v>3203</v>
      </c>
      <c r="G1365" s="32"/>
      <c r="H1365" s="32"/>
    </row>
    <row r="1366" spans="1:8" s="2" customFormat="1">
      <c r="A1366" s="5"/>
      <c r="G1366" s="32"/>
      <c r="H1366" s="32"/>
    </row>
    <row r="1367" spans="1:8" s="2" customFormat="1">
      <c r="A1367" s="6" t="s">
        <v>621</v>
      </c>
      <c r="B1367" s="2" t="s">
        <v>3204</v>
      </c>
      <c r="C1367" s="2" t="s">
        <v>1029</v>
      </c>
      <c r="D1367" s="2">
        <v>110000</v>
      </c>
      <c r="E1367" s="2">
        <v>610910</v>
      </c>
      <c r="F1367" s="2">
        <v>610110</v>
      </c>
      <c r="G1367" s="32">
        <f>58363+1833</f>
        <v>60196</v>
      </c>
      <c r="H1367" s="32">
        <f>58363+1833</f>
        <v>60196</v>
      </c>
    </row>
    <row r="1368" spans="1:8" s="2" customFormat="1">
      <c r="A1368" s="6" t="s">
        <v>622</v>
      </c>
      <c r="B1368" s="2" t="s">
        <v>1777</v>
      </c>
      <c r="C1368" s="2" t="s">
        <v>2490</v>
      </c>
      <c r="D1368" s="2">
        <v>110000</v>
      </c>
      <c r="E1368" s="2">
        <v>610910</v>
      </c>
      <c r="F1368" s="2">
        <v>610110</v>
      </c>
      <c r="G1368" s="32">
        <f>49261+1620</f>
        <v>50881</v>
      </c>
      <c r="H1368" s="32">
        <f>49261+1620</f>
        <v>50881</v>
      </c>
    </row>
    <row r="1369" spans="1:8" s="2" customFormat="1">
      <c r="A1369" s="6" t="s">
        <v>623</v>
      </c>
      <c r="B1369" s="2" t="s">
        <v>1778</v>
      </c>
      <c r="C1369" s="2" t="s">
        <v>2490</v>
      </c>
      <c r="D1369" s="2">
        <v>110000</v>
      </c>
      <c r="E1369" s="2">
        <v>610910</v>
      </c>
      <c r="F1369" s="2">
        <v>610110</v>
      </c>
      <c r="G1369" s="32">
        <f>51118+1932</f>
        <v>53050</v>
      </c>
      <c r="H1369" s="32">
        <f>51118+1932</f>
        <v>53050</v>
      </c>
    </row>
    <row r="1370" spans="1:8" s="2" customFormat="1">
      <c r="A1370" s="6" t="s">
        <v>624</v>
      </c>
      <c r="B1370" s="2" t="s">
        <v>1779</v>
      </c>
      <c r="C1370" s="2" t="s">
        <v>2490</v>
      </c>
      <c r="D1370" s="2">
        <v>110000</v>
      </c>
      <c r="E1370" s="2">
        <v>610910</v>
      </c>
      <c r="F1370" s="2">
        <v>610110</v>
      </c>
      <c r="G1370" s="32">
        <f>57965+1299</f>
        <v>59264</v>
      </c>
      <c r="H1370" s="32">
        <f>57965+1299</f>
        <v>59264</v>
      </c>
    </row>
    <row r="1371" spans="1:8" s="2" customFormat="1">
      <c r="A1371" s="6" t="s">
        <v>625</v>
      </c>
      <c r="B1371" s="2" t="s">
        <v>1780</v>
      </c>
      <c r="C1371" s="2" t="s">
        <v>544</v>
      </c>
      <c r="D1371" s="2">
        <v>110000</v>
      </c>
      <c r="E1371" s="2">
        <v>610910</v>
      </c>
      <c r="F1371" s="2">
        <v>610110</v>
      </c>
      <c r="G1371" s="32">
        <f>47917+1073</f>
        <v>48990</v>
      </c>
      <c r="H1371" s="32">
        <f>47917+1073</f>
        <v>48990</v>
      </c>
    </row>
    <row r="1372" spans="1:8" s="2" customFormat="1">
      <c r="A1372" s="6" t="s">
        <v>626</v>
      </c>
      <c r="B1372" s="2" t="s">
        <v>1781</v>
      </c>
      <c r="C1372" s="2" t="s">
        <v>2106</v>
      </c>
      <c r="D1372" s="2">
        <v>110000</v>
      </c>
      <c r="E1372" s="2">
        <v>610910</v>
      </c>
      <c r="F1372" s="2">
        <v>610110</v>
      </c>
      <c r="G1372" s="32">
        <f>29097+924</f>
        <v>30021</v>
      </c>
      <c r="H1372" s="32">
        <f>29097+924</f>
        <v>30021</v>
      </c>
    </row>
    <row r="1373" spans="1:8" s="2" customFormat="1">
      <c r="A1373" s="6" t="s">
        <v>627</v>
      </c>
      <c r="B1373" s="2" t="s">
        <v>258</v>
      </c>
      <c r="C1373" s="2" t="s">
        <v>1609</v>
      </c>
      <c r="D1373" s="2">
        <v>110000</v>
      </c>
      <c r="E1373" s="2">
        <v>610910</v>
      </c>
      <c r="F1373" s="2">
        <v>610410</v>
      </c>
      <c r="G1373" s="32">
        <f>16597+465</f>
        <v>17062</v>
      </c>
      <c r="H1373" s="32">
        <f>16597+465</f>
        <v>17062</v>
      </c>
    </row>
    <row r="1374" spans="1:8" s="2" customFormat="1">
      <c r="A1374" s="6"/>
      <c r="C1374" s="2" t="s">
        <v>1611</v>
      </c>
      <c r="D1374" s="2">
        <v>110000</v>
      </c>
      <c r="E1374" s="2">
        <v>610910</v>
      </c>
      <c r="F1374" s="2">
        <v>620000</v>
      </c>
      <c r="G1374" s="32"/>
      <c r="H1374" s="32"/>
    </row>
    <row r="1375" spans="1:8" s="2" customFormat="1">
      <c r="A1375" s="6"/>
      <c r="C1375" s="2" t="s">
        <v>2950</v>
      </c>
      <c r="D1375" s="2">
        <v>110000</v>
      </c>
      <c r="E1375" s="2">
        <v>610910</v>
      </c>
      <c r="F1375" s="2">
        <v>610000</v>
      </c>
      <c r="G1375" s="36"/>
      <c r="H1375" s="36"/>
    </row>
    <row r="1376" spans="1:8" s="2" customFormat="1">
      <c r="A1376" s="5"/>
      <c r="C1376" s="2" t="s">
        <v>2951</v>
      </c>
      <c r="D1376" s="2">
        <v>110000</v>
      </c>
      <c r="E1376" s="2">
        <v>610910</v>
      </c>
      <c r="F1376" s="2">
        <v>630000</v>
      </c>
      <c r="G1376" s="32">
        <f>SUM(G1367:G1375)*0.21</f>
        <v>67087.44</v>
      </c>
      <c r="H1376" s="32">
        <f>SUM(H1367:H1375)*0.21</f>
        <v>67087.44</v>
      </c>
    </row>
    <row r="1377" spans="1:8" s="2" customFormat="1">
      <c r="A1377" s="5"/>
      <c r="C1377" s="8" t="s">
        <v>1129</v>
      </c>
      <c r="G1377" s="32">
        <f>SUM(G1367:G1376)</f>
        <v>386551.44</v>
      </c>
      <c r="H1377" s="32">
        <f>SUM(H1367:H1376)</f>
        <v>386551.44</v>
      </c>
    </row>
    <row r="1378" spans="1:8" s="2" customFormat="1">
      <c r="A1378" s="5"/>
      <c r="C1378" s="2" t="s">
        <v>2234</v>
      </c>
      <c r="D1378" s="2">
        <v>110000</v>
      </c>
      <c r="E1378" s="2">
        <v>610910</v>
      </c>
      <c r="F1378" s="2">
        <v>710000</v>
      </c>
      <c r="G1378" s="32">
        <v>10007</v>
      </c>
      <c r="H1378" s="32">
        <v>10007</v>
      </c>
    </row>
    <row r="1379" spans="1:8" s="2" customFormat="1">
      <c r="A1379" s="5"/>
      <c r="C1379" s="8" t="s">
        <v>2235</v>
      </c>
      <c r="G1379" s="32">
        <f>G1377+G1378</f>
        <v>396558.44</v>
      </c>
      <c r="H1379" s="32">
        <f>H1377+H1378</f>
        <v>396558.44</v>
      </c>
    </row>
    <row r="1380" spans="1:8" s="2" customFormat="1">
      <c r="A1380" s="5"/>
      <c r="G1380" s="32"/>
      <c r="H1380" s="32"/>
    </row>
    <row r="1381" spans="1:8" s="2" customFormat="1">
      <c r="A1381" s="5" t="s">
        <v>2529</v>
      </c>
      <c r="B1381" s="2" t="s">
        <v>2705</v>
      </c>
      <c r="G1381" s="32"/>
      <c r="H1381" s="32"/>
    </row>
    <row r="1382" spans="1:8" s="2" customFormat="1">
      <c r="A1382" s="5"/>
      <c r="G1382" s="32"/>
      <c r="H1382" s="32"/>
    </row>
    <row r="1383" spans="1:8" s="2" customFormat="1">
      <c r="A1383" s="6" t="s">
        <v>3179</v>
      </c>
      <c r="B1383" s="2" t="s">
        <v>2706</v>
      </c>
      <c r="C1383" s="2" t="s">
        <v>1029</v>
      </c>
      <c r="D1383" s="2">
        <v>110000</v>
      </c>
      <c r="E1383" s="2">
        <v>611010</v>
      </c>
      <c r="F1383" s="2">
        <v>610110</v>
      </c>
      <c r="G1383" s="32">
        <f>61904+1764</f>
        <v>63668</v>
      </c>
      <c r="H1383" s="32">
        <f>61904+1764</f>
        <v>63668</v>
      </c>
    </row>
    <row r="1384" spans="1:8" s="2" customFormat="1">
      <c r="A1384" s="6" t="s">
        <v>3180</v>
      </c>
      <c r="B1384" s="2" t="s">
        <v>2707</v>
      </c>
      <c r="C1384" s="2" t="s">
        <v>2490</v>
      </c>
      <c r="D1384" s="2">
        <v>110000</v>
      </c>
      <c r="E1384" s="2">
        <v>611010</v>
      </c>
      <c r="F1384" s="2">
        <v>610110</v>
      </c>
      <c r="G1384" s="32">
        <f>57519+1688</f>
        <v>59207</v>
      </c>
      <c r="H1384" s="32">
        <f>57519+1688</f>
        <v>59207</v>
      </c>
    </row>
    <row r="1385" spans="1:8" s="2" customFormat="1">
      <c r="A1385" s="6" t="s">
        <v>3181</v>
      </c>
      <c r="B1385" s="2" t="s">
        <v>2708</v>
      </c>
      <c r="C1385" s="2" t="s">
        <v>2490</v>
      </c>
      <c r="D1385" s="2">
        <v>110000</v>
      </c>
      <c r="E1385" s="2">
        <v>611010</v>
      </c>
      <c r="F1385" s="2">
        <v>610110</v>
      </c>
      <c r="G1385" s="32">
        <f>52708+1512</f>
        <v>54220</v>
      </c>
      <c r="H1385" s="32">
        <f>52708+1512</f>
        <v>54220</v>
      </c>
    </row>
    <row r="1386" spans="1:8" s="2" customFormat="1">
      <c r="A1386" s="6" t="s">
        <v>3182</v>
      </c>
      <c r="B1386" s="2" t="s">
        <v>2709</v>
      </c>
      <c r="C1386" s="2" t="s">
        <v>2490</v>
      </c>
      <c r="D1386" s="2">
        <v>110000</v>
      </c>
      <c r="E1386" s="2">
        <v>611010</v>
      </c>
      <c r="F1386" s="2">
        <v>610110</v>
      </c>
      <c r="G1386" s="32">
        <f>55093+1419</f>
        <v>56512</v>
      </c>
      <c r="H1386" s="32">
        <f>55093+1419</f>
        <v>56512</v>
      </c>
    </row>
    <row r="1387" spans="1:8" s="2" customFormat="1">
      <c r="A1387" s="6" t="s">
        <v>3183</v>
      </c>
      <c r="B1387" s="2" t="s">
        <v>2710</v>
      </c>
      <c r="C1387" s="2" t="s">
        <v>2490</v>
      </c>
      <c r="D1387" s="2">
        <v>110000</v>
      </c>
      <c r="E1387" s="2">
        <v>611010</v>
      </c>
      <c r="F1387" s="2">
        <v>610110</v>
      </c>
      <c r="G1387" s="32">
        <f>59902+1305</f>
        <v>61207</v>
      </c>
      <c r="H1387" s="32">
        <f>59902+1305</f>
        <v>61207</v>
      </c>
    </row>
    <row r="1388" spans="1:8" s="2" customFormat="1">
      <c r="A1388" s="6" t="s">
        <v>3184</v>
      </c>
      <c r="B1388" s="2" t="s">
        <v>2711</v>
      </c>
      <c r="C1388" s="2" t="s">
        <v>2490</v>
      </c>
      <c r="D1388" s="2">
        <v>110000</v>
      </c>
      <c r="E1388" s="2">
        <v>611010</v>
      </c>
      <c r="F1388" s="2">
        <v>610110</v>
      </c>
      <c r="G1388" s="32">
        <f>46905+1500+2065</f>
        <v>50470</v>
      </c>
      <c r="H1388" s="32">
        <f>46905+1500+2065</f>
        <v>50470</v>
      </c>
    </row>
    <row r="1389" spans="1:8" s="2" customFormat="1">
      <c r="A1389" s="6" t="s">
        <v>3185</v>
      </c>
      <c r="B1389" s="2" t="s">
        <v>2712</v>
      </c>
      <c r="C1389" s="2" t="s">
        <v>544</v>
      </c>
      <c r="D1389" s="2">
        <v>110000</v>
      </c>
      <c r="E1389" s="2">
        <v>611010</v>
      </c>
      <c r="F1389" s="2">
        <v>610110</v>
      </c>
      <c r="G1389" s="32">
        <f>46810+1437</f>
        <v>48247</v>
      </c>
      <c r="H1389" s="32">
        <f>46810+1437</f>
        <v>48247</v>
      </c>
    </row>
    <row r="1390" spans="1:8" s="2" customFormat="1">
      <c r="A1390" s="6" t="s">
        <v>3186</v>
      </c>
      <c r="B1390" s="2" t="s">
        <v>2713</v>
      </c>
      <c r="C1390" s="2" t="s">
        <v>544</v>
      </c>
      <c r="D1390" s="2">
        <v>110000</v>
      </c>
      <c r="E1390" s="2">
        <v>611010</v>
      </c>
      <c r="F1390" s="2">
        <v>610110</v>
      </c>
      <c r="G1390" s="32">
        <f>42409+1165</f>
        <v>43574</v>
      </c>
      <c r="H1390" s="32">
        <f>42409+1165</f>
        <v>43574</v>
      </c>
    </row>
    <row r="1391" spans="1:8" s="2" customFormat="1">
      <c r="A1391" s="6" t="s">
        <v>3187</v>
      </c>
      <c r="B1391" s="2" t="s">
        <v>2714</v>
      </c>
      <c r="C1391" s="2" t="s">
        <v>148</v>
      </c>
      <c r="D1391" s="2">
        <v>110000</v>
      </c>
      <c r="E1391" s="2">
        <v>611010</v>
      </c>
      <c r="F1391" s="2">
        <v>610110</v>
      </c>
      <c r="G1391" s="32">
        <f>46547+1268</f>
        <v>47815</v>
      </c>
      <c r="H1391" s="32">
        <f>46547+1268</f>
        <v>47815</v>
      </c>
    </row>
    <row r="1392" spans="1:8" s="2" customFormat="1">
      <c r="A1392" s="6" t="s">
        <v>3188</v>
      </c>
      <c r="B1392" s="2" t="s">
        <v>2715</v>
      </c>
      <c r="C1392" s="2" t="s">
        <v>148</v>
      </c>
      <c r="D1392" s="2">
        <v>110000</v>
      </c>
      <c r="E1392" s="2">
        <v>611010</v>
      </c>
      <c r="F1392" s="2">
        <v>610110</v>
      </c>
      <c r="G1392" s="32">
        <f>36722+1152</f>
        <v>37874</v>
      </c>
      <c r="H1392" s="32">
        <f>36722+1152</f>
        <v>37874</v>
      </c>
    </row>
    <row r="1393" spans="1:8" s="2" customFormat="1">
      <c r="A1393" s="6"/>
      <c r="B1393" s="2" t="s">
        <v>1974</v>
      </c>
      <c r="C1393" s="2" t="s">
        <v>148</v>
      </c>
      <c r="D1393" s="2">
        <v>110000</v>
      </c>
      <c r="E1393" s="2">
        <v>611010</v>
      </c>
      <c r="F1393" s="2">
        <v>610110</v>
      </c>
      <c r="G1393" s="32">
        <v>46000</v>
      </c>
      <c r="H1393" s="32">
        <v>46000</v>
      </c>
    </row>
    <row r="1394" spans="1:8" s="2" customFormat="1">
      <c r="A1394" s="6" t="s">
        <v>3189</v>
      </c>
      <c r="B1394" s="2" t="s">
        <v>2716</v>
      </c>
      <c r="C1394" s="2" t="s">
        <v>2941</v>
      </c>
      <c r="D1394" s="2">
        <v>110000</v>
      </c>
      <c r="E1394" s="2">
        <v>611010</v>
      </c>
      <c r="F1394" s="2">
        <v>610410</v>
      </c>
      <c r="G1394" s="32">
        <f>22235+623</f>
        <v>22858</v>
      </c>
      <c r="H1394" s="32">
        <f>22235+623</f>
        <v>22858</v>
      </c>
    </row>
    <row r="1395" spans="1:8" s="2" customFormat="1">
      <c r="A1395" s="6" t="s">
        <v>620</v>
      </c>
      <c r="B1395" s="2" t="s">
        <v>2717</v>
      </c>
      <c r="C1395" s="2" t="s">
        <v>1609</v>
      </c>
      <c r="D1395" s="2">
        <v>110000</v>
      </c>
      <c r="E1395" s="2">
        <v>611010</v>
      </c>
      <c r="F1395" s="2">
        <v>610410</v>
      </c>
      <c r="G1395" s="32">
        <f>17818+499</f>
        <v>18317</v>
      </c>
      <c r="H1395" s="32">
        <f>17818+499</f>
        <v>18317</v>
      </c>
    </row>
    <row r="1396" spans="1:8" s="2" customFormat="1">
      <c r="A1396" s="6"/>
      <c r="C1396" s="2" t="s">
        <v>1611</v>
      </c>
      <c r="D1396" s="2">
        <v>110000</v>
      </c>
      <c r="E1396" s="2">
        <v>611010</v>
      </c>
      <c r="F1396" s="2">
        <v>620000</v>
      </c>
      <c r="G1396" s="32"/>
      <c r="H1396" s="32"/>
    </row>
    <row r="1397" spans="1:8" s="2" customFormat="1">
      <c r="A1397" s="6"/>
      <c r="C1397" s="2" t="s">
        <v>2950</v>
      </c>
      <c r="D1397" s="2">
        <v>110000</v>
      </c>
      <c r="E1397" s="2">
        <v>611010</v>
      </c>
      <c r="F1397" s="2">
        <v>610000</v>
      </c>
      <c r="G1397" s="36"/>
      <c r="H1397" s="36"/>
    </row>
    <row r="1398" spans="1:8" s="2" customFormat="1">
      <c r="A1398" s="6"/>
      <c r="C1398" s="2" t="s">
        <v>2951</v>
      </c>
      <c r="D1398" s="2">
        <v>110000</v>
      </c>
      <c r="E1398" s="2">
        <v>611010</v>
      </c>
      <c r="F1398" s="2">
        <v>630000</v>
      </c>
      <c r="G1398" s="32">
        <f>SUM(G1383:G1397)*0.21</f>
        <v>128093.48999999999</v>
      </c>
      <c r="H1398" s="32">
        <f>SUM(H1383:H1397)*0.21</f>
        <v>128093.48999999999</v>
      </c>
    </row>
    <row r="1399" spans="1:8" s="2" customFormat="1">
      <c r="A1399" s="5"/>
      <c r="C1399" s="8" t="s">
        <v>1129</v>
      </c>
      <c r="G1399" s="32">
        <f>SUM(G1383:G1398)</f>
        <v>738062.49</v>
      </c>
      <c r="H1399" s="32">
        <f>SUM(H1383:H1398)</f>
        <v>738062.49</v>
      </c>
    </row>
    <row r="1400" spans="1:8" s="2" customFormat="1">
      <c r="A1400" s="5"/>
      <c r="C1400" s="2" t="s">
        <v>2234</v>
      </c>
      <c r="D1400" s="2">
        <v>110000</v>
      </c>
      <c r="E1400" s="2">
        <v>611010</v>
      </c>
      <c r="F1400" s="2">
        <v>710000</v>
      </c>
      <c r="G1400" s="32">
        <v>15618</v>
      </c>
      <c r="H1400" s="32">
        <v>15618</v>
      </c>
    </row>
    <row r="1401" spans="1:8" s="2" customFormat="1">
      <c r="A1401" s="5"/>
      <c r="C1401" s="8" t="s">
        <v>2235</v>
      </c>
      <c r="G1401" s="32">
        <f>G1399+G1400</f>
        <v>753680.49</v>
      </c>
      <c r="H1401" s="32">
        <f>H1399+H1400</f>
        <v>753680.49</v>
      </c>
    </row>
    <row r="1402" spans="1:8" s="2" customFormat="1">
      <c r="A1402" s="5"/>
      <c r="C1402" s="8"/>
      <c r="G1402" s="32"/>
      <c r="H1402" s="32"/>
    </row>
    <row r="1403" spans="1:8" s="2" customFormat="1">
      <c r="A1403" s="5" t="s">
        <v>2530</v>
      </c>
      <c r="B1403" s="2" t="s">
        <v>3202</v>
      </c>
      <c r="C1403" s="8"/>
      <c r="G1403" s="32"/>
      <c r="H1403" s="32"/>
    </row>
    <row r="1404" spans="1:8" s="2" customFormat="1">
      <c r="A1404" s="5"/>
      <c r="C1404" s="8"/>
      <c r="G1404" s="32"/>
      <c r="H1404" s="32"/>
    </row>
    <row r="1405" spans="1:8" s="2" customFormat="1">
      <c r="A1405" s="5"/>
      <c r="C1405" s="2" t="s">
        <v>2234</v>
      </c>
      <c r="D1405" s="2">
        <v>110000</v>
      </c>
      <c r="E1405" s="2">
        <v>611011</v>
      </c>
      <c r="F1405" s="2">
        <v>710000</v>
      </c>
      <c r="G1405" s="32">
        <v>130</v>
      </c>
      <c r="H1405" s="32">
        <v>130</v>
      </c>
    </row>
    <row r="1406" spans="1:8" s="2" customFormat="1">
      <c r="A1406" s="5"/>
      <c r="C1406" s="8" t="s">
        <v>2235</v>
      </c>
      <c r="G1406" s="32">
        <f>G1405</f>
        <v>130</v>
      </c>
      <c r="H1406" s="32">
        <f>H1405</f>
        <v>130</v>
      </c>
    </row>
    <row r="1407" spans="1:8" s="2" customFormat="1">
      <c r="A1407" s="5"/>
      <c r="G1407" s="32"/>
      <c r="H1407" s="32"/>
    </row>
    <row r="1408" spans="1:8" s="2" customFormat="1">
      <c r="A1408" s="5" t="s">
        <v>2522</v>
      </c>
      <c r="B1408" s="2" t="s">
        <v>241</v>
      </c>
      <c r="G1408" s="32"/>
      <c r="H1408" s="32"/>
    </row>
    <row r="1409" spans="1:8" s="2" customFormat="1">
      <c r="A1409" s="5"/>
      <c r="G1409" s="32"/>
      <c r="H1409" s="32"/>
    </row>
    <row r="1410" spans="1:8" s="2" customFormat="1">
      <c r="A1410" s="5"/>
      <c r="C1410" s="2" t="s">
        <v>2234</v>
      </c>
      <c r="D1410" s="2">
        <v>110000</v>
      </c>
      <c r="E1410" s="2">
        <v>611110</v>
      </c>
      <c r="F1410" s="2">
        <v>710000</v>
      </c>
      <c r="G1410" s="32">
        <v>4683</v>
      </c>
      <c r="H1410" s="32">
        <v>4683</v>
      </c>
    </row>
    <row r="1411" spans="1:8" s="2" customFormat="1">
      <c r="A1411" s="5"/>
      <c r="C1411" s="8" t="s">
        <v>2235</v>
      </c>
      <c r="G1411" s="32">
        <v>4683</v>
      </c>
      <c r="H1411" s="32">
        <v>4683</v>
      </c>
    </row>
    <row r="1412" spans="1:8" s="2" customFormat="1">
      <c r="A1412" s="5"/>
      <c r="G1412" s="32"/>
      <c r="H1412" s="32"/>
    </row>
    <row r="1413" spans="1:8" s="2" customFormat="1">
      <c r="A1413" s="5" t="s">
        <v>2522</v>
      </c>
      <c r="B1413" s="2" t="s">
        <v>242</v>
      </c>
      <c r="G1413" s="32"/>
      <c r="H1413" s="32"/>
    </row>
    <row r="1414" spans="1:8" s="2" customFormat="1">
      <c r="A1414" s="5"/>
      <c r="G1414" s="32"/>
      <c r="H1414" s="32"/>
    </row>
    <row r="1415" spans="1:8" s="2" customFormat="1">
      <c r="A1415" s="6" t="s">
        <v>3120</v>
      </c>
      <c r="B1415" s="2" t="s">
        <v>243</v>
      </c>
      <c r="C1415" s="2" t="s">
        <v>1029</v>
      </c>
      <c r="D1415" s="2">
        <v>110000</v>
      </c>
      <c r="E1415" s="2">
        <v>611110</v>
      </c>
      <c r="F1415" s="2">
        <v>610110</v>
      </c>
      <c r="G1415" s="32">
        <f>68530+2056</f>
        <v>70586</v>
      </c>
      <c r="H1415" s="32">
        <f>68530+2056</f>
        <v>70586</v>
      </c>
    </row>
    <row r="1416" spans="1:8" s="2" customFormat="1">
      <c r="A1416" s="6" t="s">
        <v>3121</v>
      </c>
      <c r="B1416" s="2" t="s">
        <v>244</v>
      </c>
      <c r="C1416" s="2" t="s">
        <v>2490</v>
      </c>
      <c r="D1416" s="2">
        <v>110000</v>
      </c>
      <c r="E1416" s="2">
        <v>611110</v>
      </c>
      <c r="F1416" s="2">
        <v>610110</v>
      </c>
      <c r="G1416" s="32">
        <f>55177+1545</f>
        <v>56722</v>
      </c>
      <c r="H1416" s="32">
        <f>55177+1545</f>
        <v>56722</v>
      </c>
    </row>
    <row r="1417" spans="1:8" s="2" customFormat="1">
      <c r="A1417" s="6" t="s">
        <v>3122</v>
      </c>
      <c r="B1417" s="2" t="s">
        <v>584</v>
      </c>
      <c r="C1417" s="2" t="s">
        <v>2490</v>
      </c>
      <c r="D1417" s="2">
        <v>110000</v>
      </c>
      <c r="E1417" s="2">
        <v>611110</v>
      </c>
      <c r="F1417" s="2">
        <v>610110</v>
      </c>
      <c r="G1417" s="32">
        <f>46299+1296</f>
        <v>47595</v>
      </c>
      <c r="H1417" s="32">
        <f>46299+1296</f>
        <v>47595</v>
      </c>
    </row>
    <row r="1418" spans="1:8" s="2" customFormat="1">
      <c r="A1418" s="6" t="s">
        <v>3123</v>
      </c>
      <c r="B1418" s="2" t="s">
        <v>585</v>
      </c>
      <c r="C1418" s="2" t="s">
        <v>2490</v>
      </c>
      <c r="D1418" s="2">
        <v>110000</v>
      </c>
      <c r="E1418" s="2">
        <v>611110</v>
      </c>
      <c r="F1418" s="2">
        <v>610110</v>
      </c>
      <c r="G1418" s="32">
        <f>48773+1669</f>
        <v>50442</v>
      </c>
      <c r="H1418" s="32">
        <f>48773+1669</f>
        <v>50442</v>
      </c>
    </row>
    <row r="1419" spans="1:8" s="2" customFormat="1">
      <c r="A1419" s="6" t="s">
        <v>3124</v>
      </c>
      <c r="B1419" s="2" t="s">
        <v>586</v>
      </c>
      <c r="C1419" s="2" t="s">
        <v>2490</v>
      </c>
      <c r="D1419" s="2">
        <v>110000</v>
      </c>
      <c r="E1419" s="2">
        <v>611110</v>
      </c>
      <c r="F1419" s="2">
        <v>610110</v>
      </c>
      <c r="G1419" s="32">
        <f>42943+1408</f>
        <v>44351</v>
      </c>
      <c r="H1419" s="32">
        <f>42943+1408</f>
        <v>44351</v>
      </c>
    </row>
    <row r="1420" spans="1:8" s="2" customFormat="1">
      <c r="A1420" s="6" t="s">
        <v>3125</v>
      </c>
      <c r="B1420" s="2" t="s">
        <v>587</v>
      </c>
      <c r="C1420" s="2" t="s">
        <v>544</v>
      </c>
      <c r="D1420" s="2">
        <v>110000</v>
      </c>
      <c r="E1420" s="2">
        <v>611110</v>
      </c>
      <c r="F1420" s="2">
        <v>610110</v>
      </c>
      <c r="G1420" s="32">
        <f>49158+1179</f>
        <v>50337</v>
      </c>
      <c r="H1420" s="32">
        <f>49158+1179</f>
        <v>50337</v>
      </c>
    </row>
    <row r="1421" spans="1:8" s="2" customFormat="1">
      <c r="A1421" s="6" t="s">
        <v>3126</v>
      </c>
      <c r="B1421" s="2" t="s">
        <v>588</v>
      </c>
      <c r="C1421" s="2" t="s">
        <v>148</v>
      </c>
      <c r="D1421" s="2">
        <v>110000</v>
      </c>
      <c r="E1421" s="2">
        <v>611110</v>
      </c>
      <c r="F1421" s="2">
        <v>610110</v>
      </c>
      <c r="G1421" s="32">
        <f>37150+1283</f>
        <v>38433</v>
      </c>
      <c r="H1421" s="32">
        <f>37150+1283</f>
        <v>38433</v>
      </c>
    </row>
    <row r="1422" spans="1:8" s="2" customFormat="1">
      <c r="A1422" s="6" t="s">
        <v>3127</v>
      </c>
      <c r="B1422" s="2" t="s">
        <v>589</v>
      </c>
      <c r="C1422" s="2" t="s">
        <v>148</v>
      </c>
      <c r="D1422" s="2">
        <v>110000</v>
      </c>
      <c r="E1422" s="2">
        <v>611110</v>
      </c>
      <c r="F1422" s="2">
        <v>610110</v>
      </c>
      <c r="G1422" s="32">
        <f>35000+1015</f>
        <v>36015</v>
      </c>
      <c r="H1422" s="32">
        <f>35000+1015</f>
        <v>36015</v>
      </c>
    </row>
    <row r="1423" spans="1:8" s="2" customFormat="1">
      <c r="A1423" s="6" t="s">
        <v>3128</v>
      </c>
      <c r="B1423" s="2" t="s">
        <v>590</v>
      </c>
      <c r="C1423" s="2" t="s">
        <v>2106</v>
      </c>
      <c r="D1423" s="2">
        <v>110000</v>
      </c>
      <c r="E1423" s="2">
        <v>611110</v>
      </c>
      <c r="F1423" s="2">
        <v>610110</v>
      </c>
      <c r="G1423" s="32">
        <f>29259+1025</f>
        <v>30284</v>
      </c>
      <c r="H1423" s="32">
        <f>29259+1025</f>
        <v>30284</v>
      </c>
    </row>
    <row r="1424" spans="1:8" s="2" customFormat="1">
      <c r="A1424" s="6" t="s">
        <v>3129</v>
      </c>
      <c r="B1424" s="2" t="s">
        <v>591</v>
      </c>
      <c r="C1424" s="2" t="s">
        <v>2106</v>
      </c>
      <c r="D1424" s="2">
        <v>110000</v>
      </c>
      <c r="E1424" s="2">
        <v>611110</v>
      </c>
      <c r="F1424" s="2">
        <v>610110</v>
      </c>
      <c r="G1424" s="32">
        <f>29259+819</f>
        <v>30078</v>
      </c>
      <c r="H1424" s="32">
        <f>29259+819</f>
        <v>30078</v>
      </c>
    </row>
    <row r="1425" spans="1:8" s="2" customFormat="1">
      <c r="A1425" s="6" t="s">
        <v>3130</v>
      </c>
      <c r="B1425" s="2" t="s">
        <v>592</v>
      </c>
      <c r="C1425" s="2" t="s">
        <v>2106</v>
      </c>
      <c r="D1425" s="2">
        <v>110000</v>
      </c>
      <c r="E1425" s="2">
        <v>611110</v>
      </c>
      <c r="F1425" s="2">
        <v>610110</v>
      </c>
      <c r="G1425" s="32">
        <f>32259+903</f>
        <v>33162</v>
      </c>
      <c r="H1425" s="32">
        <f>32259+903</f>
        <v>33162</v>
      </c>
    </row>
    <row r="1426" spans="1:8" s="2" customFormat="1">
      <c r="A1426" s="6" t="s">
        <v>3131</v>
      </c>
      <c r="B1426" s="2" t="s">
        <v>2268</v>
      </c>
      <c r="C1426" s="2" t="s">
        <v>2106</v>
      </c>
      <c r="D1426" s="2">
        <v>110000</v>
      </c>
      <c r="E1426" s="2">
        <v>611110</v>
      </c>
      <c r="F1426" s="2">
        <v>610110</v>
      </c>
      <c r="G1426" s="32">
        <f t="shared" ref="G1426:H1428" si="2">29259+819</f>
        <v>30078</v>
      </c>
      <c r="H1426" s="32">
        <f t="shared" si="2"/>
        <v>30078</v>
      </c>
    </row>
    <row r="1427" spans="1:8" s="2" customFormat="1">
      <c r="A1427" s="6" t="s">
        <v>3132</v>
      </c>
      <c r="B1427" s="2" t="s">
        <v>2269</v>
      </c>
      <c r="C1427" s="2" t="s">
        <v>2106</v>
      </c>
      <c r="D1427" s="2">
        <v>110000</v>
      </c>
      <c r="E1427" s="2">
        <v>611110</v>
      </c>
      <c r="F1427" s="2">
        <v>610110</v>
      </c>
      <c r="G1427" s="32">
        <f t="shared" si="2"/>
        <v>30078</v>
      </c>
      <c r="H1427" s="32">
        <f t="shared" si="2"/>
        <v>30078</v>
      </c>
    </row>
    <row r="1428" spans="1:8" s="2" customFormat="1">
      <c r="A1428" s="6" t="s">
        <v>3133</v>
      </c>
      <c r="B1428" s="2" t="s">
        <v>2981</v>
      </c>
      <c r="C1428" s="2" t="s">
        <v>2106</v>
      </c>
      <c r="D1428" s="2">
        <v>110000</v>
      </c>
      <c r="E1428" s="2">
        <v>611110</v>
      </c>
      <c r="F1428" s="2">
        <v>610110</v>
      </c>
      <c r="G1428" s="32">
        <f t="shared" si="2"/>
        <v>30078</v>
      </c>
      <c r="H1428" s="32">
        <f t="shared" si="2"/>
        <v>30078</v>
      </c>
    </row>
    <row r="1429" spans="1:8" s="2" customFormat="1">
      <c r="A1429" s="6" t="s">
        <v>3134</v>
      </c>
      <c r="B1429" s="2" t="s">
        <v>2982</v>
      </c>
      <c r="C1429" s="2" t="s">
        <v>1031</v>
      </c>
      <c r="D1429" s="2">
        <v>110000</v>
      </c>
      <c r="E1429" s="2">
        <v>611110</v>
      </c>
      <c r="F1429" s="2">
        <v>610110</v>
      </c>
      <c r="G1429" s="32">
        <f>39380+1102</f>
        <v>40482</v>
      </c>
      <c r="H1429" s="32">
        <f>39380+1102</f>
        <v>40482</v>
      </c>
    </row>
    <row r="1430" spans="1:8" s="2" customFormat="1">
      <c r="A1430" s="6" t="s">
        <v>3135</v>
      </c>
      <c r="B1430" s="2" t="s">
        <v>2983</v>
      </c>
      <c r="C1430" s="2" t="s">
        <v>2106</v>
      </c>
      <c r="D1430" s="2">
        <v>110000</v>
      </c>
      <c r="E1430" s="2">
        <v>611110</v>
      </c>
      <c r="F1430" s="2">
        <v>610110</v>
      </c>
      <c r="G1430" s="32">
        <f>32875+920</f>
        <v>33795</v>
      </c>
      <c r="H1430" s="32">
        <f>32875+920</f>
        <v>33795</v>
      </c>
    </row>
    <row r="1431" spans="1:8" s="2" customFormat="1">
      <c r="A1431" s="6" t="s">
        <v>3136</v>
      </c>
      <c r="B1431" s="2" t="s">
        <v>2984</v>
      </c>
      <c r="C1431" s="2" t="s">
        <v>2106</v>
      </c>
      <c r="D1431" s="2">
        <v>110000</v>
      </c>
      <c r="E1431" s="2">
        <v>611110</v>
      </c>
      <c r="F1431" s="2">
        <v>610110</v>
      </c>
      <c r="G1431" s="32">
        <f>29032+1165</f>
        <v>30197</v>
      </c>
      <c r="H1431" s="32">
        <f>29032+1165</f>
        <v>30197</v>
      </c>
    </row>
    <row r="1432" spans="1:8" s="2" customFormat="1">
      <c r="A1432" s="6" t="s">
        <v>3137</v>
      </c>
      <c r="B1432" s="2" t="s">
        <v>2985</v>
      </c>
      <c r="C1432" s="2" t="s">
        <v>2106</v>
      </c>
      <c r="D1432" s="2">
        <v>110000</v>
      </c>
      <c r="E1432" s="2">
        <v>611110</v>
      </c>
      <c r="F1432" s="2">
        <v>610110</v>
      </c>
      <c r="G1432" s="32">
        <f>40026+1120</f>
        <v>41146</v>
      </c>
      <c r="H1432" s="32">
        <f>40026+1120</f>
        <v>41146</v>
      </c>
    </row>
    <row r="1433" spans="1:8" s="2" customFormat="1">
      <c r="A1433" s="6" t="s">
        <v>3138</v>
      </c>
      <c r="B1433" s="2" t="s">
        <v>2986</v>
      </c>
      <c r="C1433" s="2" t="s">
        <v>1795</v>
      </c>
      <c r="D1433" s="2">
        <v>110000</v>
      </c>
      <c r="E1433" s="2">
        <v>611112</v>
      </c>
      <c r="F1433" s="2">
        <v>610310</v>
      </c>
      <c r="G1433" s="32">
        <f>30103+722</f>
        <v>30825</v>
      </c>
      <c r="H1433" s="32"/>
    </row>
    <row r="1434" spans="1:8" s="2" customFormat="1">
      <c r="A1434" s="6" t="s">
        <v>3139</v>
      </c>
      <c r="B1434" s="2" t="s">
        <v>2987</v>
      </c>
      <c r="C1434" s="2" t="s">
        <v>43</v>
      </c>
      <c r="D1434" s="2">
        <v>110000</v>
      </c>
      <c r="E1434" s="2">
        <v>611110</v>
      </c>
      <c r="F1434" s="2">
        <v>610410</v>
      </c>
      <c r="G1434" s="32">
        <f>17683+495+1091</f>
        <v>19269</v>
      </c>
      <c r="H1434" s="32">
        <f>17683+495+1091</f>
        <v>19269</v>
      </c>
    </row>
    <row r="1435" spans="1:8" s="2" customFormat="1">
      <c r="A1435" s="6"/>
      <c r="C1435" s="2" t="s">
        <v>2950</v>
      </c>
      <c r="D1435" s="2">
        <v>110000</v>
      </c>
      <c r="E1435" s="2">
        <v>611110</v>
      </c>
      <c r="F1435" s="2">
        <v>610000</v>
      </c>
      <c r="G1435" s="36"/>
      <c r="H1435" s="36"/>
    </row>
    <row r="1436" spans="1:8" s="2" customFormat="1">
      <c r="A1436" s="6"/>
      <c r="C1436" s="2" t="s">
        <v>2951</v>
      </c>
      <c r="D1436" s="2">
        <v>110000</v>
      </c>
      <c r="E1436" s="2">
        <v>611110</v>
      </c>
      <c r="F1436" s="2">
        <v>630000</v>
      </c>
      <c r="G1436" s="32">
        <f>SUM(G1415:G1435)*0.18</f>
        <v>139311.54</v>
      </c>
      <c r="H1436" s="32">
        <f>SUM(H1415:H1435)*0.18</f>
        <v>133763.04</v>
      </c>
    </row>
    <row r="1437" spans="1:8" s="2" customFormat="1">
      <c r="A1437" s="5"/>
      <c r="C1437" s="8" t="s">
        <v>1129</v>
      </c>
      <c r="G1437" s="32">
        <f>SUM(G1415:G1436)</f>
        <v>913264.54</v>
      </c>
      <c r="H1437" s="32">
        <f>SUM(H1415:H1436)</f>
        <v>876891.04</v>
      </c>
    </row>
    <row r="1438" spans="1:8" s="2" customFormat="1">
      <c r="A1438" s="5"/>
      <c r="C1438" s="2" t="s">
        <v>2234</v>
      </c>
      <c r="D1438" s="2">
        <v>110000</v>
      </c>
      <c r="E1438" s="2">
        <v>611110</v>
      </c>
      <c r="F1438" s="2">
        <v>710000</v>
      </c>
      <c r="G1438" s="32">
        <f>21625+2000-1287</f>
        <v>22338</v>
      </c>
      <c r="H1438" s="32">
        <f>21625+2000-1287</f>
        <v>22338</v>
      </c>
    </row>
    <row r="1439" spans="1:8" s="2" customFormat="1">
      <c r="A1439" s="5"/>
      <c r="C1439" s="8" t="s">
        <v>2235</v>
      </c>
      <c r="G1439" s="32">
        <f>G1437+G1438</f>
        <v>935602.54</v>
      </c>
      <c r="H1439" s="32">
        <f>H1437+H1438</f>
        <v>899229.04</v>
      </c>
    </row>
    <row r="1440" spans="1:8" s="2" customFormat="1">
      <c r="A1440" s="5" t="s">
        <v>2522</v>
      </c>
      <c r="B1440" s="2" t="s">
        <v>2988</v>
      </c>
      <c r="G1440" s="32"/>
      <c r="H1440" s="32"/>
    </row>
    <row r="1441" spans="1:8" s="2" customFormat="1">
      <c r="A1441" s="5"/>
      <c r="G1441" s="32"/>
      <c r="H1441" s="32"/>
    </row>
    <row r="1442" spans="1:8" s="19" customFormat="1">
      <c r="A1442" s="18"/>
      <c r="C1442" s="19" t="s">
        <v>2234</v>
      </c>
      <c r="D1442" s="19">
        <v>110000</v>
      </c>
      <c r="E1442" s="19">
        <v>611110</v>
      </c>
      <c r="F1442" s="19">
        <v>710000</v>
      </c>
      <c r="G1442" s="34">
        <v>16034</v>
      </c>
      <c r="H1442" s="34">
        <v>16034</v>
      </c>
    </row>
    <row r="1443" spans="1:8" s="2" customFormat="1">
      <c r="A1443" s="5"/>
      <c r="C1443" s="8" t="s">
        <v>2235</v>
      </c>
      <c r="G1443" s="32">
        <v>16034</v>
      </c>
      <c r="H1443" s="32">
        <v>16034</v>
      </c>
    </row>
    <row r="1444" spans="1:8" s="2" customFormat="1">
      <c r="A1444" s="5"/>
      <c r="G1444" s="32"/>
      <c r="H1444" s="32"/>
    </row>
    <row r="1445" spans="1:8" s="2" customFormat="1">
      <c r="A1445" s="6" t="s">
        <v>2521</v>
      </c>
      <c r="B1445" s="2" t="s">
        <v>1515</v>
      </c>
      <c r="C1445" s="8"/>
      <c r="G1445" s="32"/>
      <c r="H1445" s="32"/>
    </row>
    <row r="1446" spans="1:8" s="2" customFormat="1">
      <c r="A1446" s="6"/>
      <c r="C1446" s="8"/>
      <c r="G1446" s="32"/>
      <c r="H1446" s="32"/>
    </row>
    <row r="1447" spans="1:8" s="2" customFormat="1">
      <c r="A1447" s="5"/>
      <c r="C1447" s="2" t="s">
        <v>582</v>
      </c>
      <c r="D1447" s="2">
        <v>110000</v>
      </c>
      <c r="E1447" s="2">
        <v>611111</v>
      </c>
      <c r="F1447" s="2">
        <v>710000</v>
      </c>
      <c r="G1447" s="32">
        <v>3400</v>
      </c>
      <c r="H1447" s="32">
        <v>3400</v>
      </c>
    </row>
    <row r="1448" spans="1:8" s="2" customFormat="1">
      <c r="A1448" s="5"/>
      <c r="C1448" s="2" t="s">
        <v>583</v>
      </c>
      <c r="D1448" s="2">
        <v>110000</v>
      </c>
      <c r="E1448" s="2">
        <v>611111</v>
      </c>
      <c r="F1448" s="2">
        <v>710000</v>
      </c>
      <c r="G1448" s="32">
        <v>15805</v>
      </c>
      <c r="H1448" s="32">
        <v>15805</v>
      </c>
    </row>
    <row r="1449" spans="1:8" s="2" customFormat="1">
      <c r="A1449" s="5"/>
      <c r="C1449" s="2" t="s">
        <v>239</v>
      </c>
      <c r="D1449" s="2">
        <v>110000</v>
      </c>
      <c r="E1449" s="2">
        <v>611111</v>
      </c>
      <c r="F1449" s="2">
        <v>710000</v>
      </c>
      <c r="G1449" s="32">
        <v>1912</v>
      </c>
      <c r="H1449" s="32">
        <v>1912</v>
      </c>
    </row>
    <row r="1450" spans="1:8" s="2" customFormat="1">
      <c r="A1450" s="5"/>
      <c r="C1450" s="8" t="s">
        <v>2235</v>
      </c>
      <c r="G1450" s="32">
        <f>SUM(G1447:G1449)</f>
        <v>21117</v>
      </c>
      <c r="H1450" s="32">
        <f>SUM(H1447:H1449)</f>
        <v>21117</v>
      </c>
    </row>
    <row r="1451" spans="1:8" s="2" customFormat="1">
      <c r="A1451" s="5"/>
      <c r="G1451" s="32"/>
      <c r="H1451" s="32"/>
    </row>
    <row r="1452" spans="1:8" s="2" customFormat="1">
      <c r="A1452" s="5" t="s">
        <v>2524</v>
      </c>
      <c r="B1452" s="2" t="s">
        <v>2889</v>
      </c>
      <c r="C1452" s="8"/>
      <c r="G1452" s="32"/>
      <c r="H1452" s="32"/>
    </row>
    <row r="1453" spans="1:8" s="2" customFormat="1">
      <c r="A1453" s="5"/>
      <c r="C1453" s="8"/>
      <c r="G1453" s="32"/>
      <c r="H1453" s="32"/>
    </row>
    <row r="1454" spans="1:8" s="2" customFormat="1">
      <c r="A1454" s="5" t="s">
        <v>3138</v>
      </c>
      <c r="B1454" s="2" t="s">
        <v>2986</v>
      </c>
      <c r="C1454" s="15" t="s">
        <v>1795</v>
      </c>
      <c r="D1454" s="2">
        <v>110000</v>
      </c>
      <c r="E1454" s="2">
        <v>611112</v>
      </c>
      <c r="F1454" s="2">
        <v>610300</v>
      </c>
      <c r="G1454" s="32">
        <f>30103+722</f>
        <v>30825</v>
      </c>
      <c r="H1454" s="32">
        <f>30103+722</f>
        <v>30825</v>
      </c>
    </row>
    <row r="1455" spans="1:8" s="2" customFormat="1">
      <c r="A1455" s="5" t="s">
        <v>3140</v>
      </c>
      <c r="B1455" s="2" t="s">
        <v>158</v>
      </c>
      <c r="C1455" s="15" t="s">
        <v>2795</v>
      </c>
      <c r="D1455" s="2">
        <v>110000</v>
      </c>
      <c r="E1455" s="2">
        <v>611112</v>
      </c>
      <c r="F1455" s="2">
        <v>610410</v>
      </c>
      <c r="G1455" s="32">
        <f>5042+141</f>
        <v>5183</v>
      </c>
      <c r="H1455" s="32">
        <f>5042+141</f>
        <v>5183</v>
      </c>
    </row>
    <row r="1456" spans="1:8" s="2" customFormat="1">
      <c r="A1456" s="5"/>
      <c r="C1456" s="15"/>
      <c r="D1456" s="2">
        <v>110000</v>
      </c>
      <c r="E1456" s="2">
        <v>320340</v>
      </c>
      <c r="F1456" s="2">
        <v>610410</v>
      </c>
      <c r="G1456" s="32">
        <f>15125+424</f>
        <v>15549</v>
      </c>
      <c r="H1456" s="32"/>
    </row>
    <row r="1457" spans="1:8" s="2" customFormat="1">
      <c r="A1457" s="5"/>
      <c r="C1457" s="15"/>
      <c r="E1457" s="2" t="s">
        <v>2880</v>
      </c>
      <c r="G1457" s="32">
        <f>SUM(G1455:G1456)</f>
        <v>20732</v>
      </c>
      <c r="H1457" s="32">
        <f>SUM(H1455:H1456)</f>
        <v>5183</v>
      </c>
    </row>
    <row r="1458" spans="1:8" s="2" customFormat="1">
      <c r="A1458" s="5"/>
      <c r="C1458" s="2" t="s">
        <v>2951</v>
      </c>
      <c r="D1458" s="2">
        <v>110000</v>
      </c>
      <c r="E1458" s="2">
        <v>611112</v>
      </c>
      <c r="F1458" s="2">
        <v>630000</v>
      </c>
      <c r="G1458" s="32">
        <f>(G1454+G1455+G1456)*0.2</f>
        <v>10311.400000000001</v>
      </c>
      <c r="H1458" s="32">
        <f>(H1454+H1455+H1456)*0.2</f>
        <v>7201.6</v>
      </c>
    </row>
    <row r="1459" spans="1:8" s="2" customFormat="1">
      <c r="A1459" s="5"/>
      <c r="C1459" s="8" t="s">
        <v>1129</v>
      </c>
      <c r="G1459" s="32">
        <f>SUM(G1454:G1458)-G1457</f>
        <v>61868.399999999994</v>
      </c>
      <c r="H1459" s="32">
        <f>SUM(H1454:H1458)-H1457</f>
        <v>43209.599999999999</v>
      </c>
    </row>
    <row r="1460" spans="1:8" s="2" customFormat="1">
      <c r="A1460" s="5"/>
      <c r="C1460" s="2" t="s">
        <v>2234</v>
      </c>
      <c r="D1460" s="2">
        <v>110000</v>
      </c>
      <c r="E1460" s="2">
        <v>611112</v>
      </c>
      <c r="F1460" s="2">
        <v>710000</v>
      </c>
      <c r="G1460" s="32">
        <f>G1461-G1459</f>
        <v>38131.600000000006</v>
      </c>
      <c r="H1460" s="32">
        <f>H1461-H1459</f>
        <v>56790.400000000001</v>
      </c>
    </row>
    <row r="1461" spans="1:8" s="2" customFormat="1">
      <c r="A1461" s="5"/>
      <c r="C1461" s="8" t="s">
        <v>2235</v>
      </c>
      <c r="G1461" s="32">
        <v>100000</v>
      </c>
      <c r="H1461" s="32">
        <v>100000</v>
      </c>
    </row>
    <row r="1462" spans="1:8" s="2" customFormat="1">
      <c r="A1462" s="5"/>
      <c r="C1462" s="8"/>
      <c r="G1462" s="32"/>
      <c r="H1462" s="32"/>
    </row>
    <row r="1463" spans="1:8" s="2" customFormat="1">
      <c r="A1463" s="5" t="s">
        <v>2518</v>
      </c>
      <c r="B1463" s="2" t="s">
        <v>1502</v>
      </c>
      <c r="G1463" s="32"/>
      <c r="H1463" s="32"/>
    </row>
    <row r="1464" spans="1:8" s="2" customFormat="1">
      <c r="A1464" s="5"/>
      <c r="G1464" s="32"/>
      <c r="H1464" s="32"/>
    </row>
    <row r="1465" spans="1:8" s="2" customFormat="1">
      <c r="A1465" s="6" t="s">
        <v>3083</v>
      </c>
      <c r="B1465" s="2" t="s">
        <v>1503</v>
      </c>
      <c r="C1465" s="2" t="s">
        <v>1029</v>
      </c>
      <c r="D1465" s="2">
        <v>110000</v>
      </c>
      <c r="E1465" s="2">
        <v>611210</v>
      </c>
      <c r="F1465" s="2">
        <v>610110</v>
      </c>
      <c r="G1465" s="32">
        <f>68496+2363</f>
        <v>70859</v>
      </c>
      <c r="H1465" s="32">
        <f>68496+2363</f>
        <v>70859</v>
      </c>
    </row>
    <row r="1466" spans="1:8" s="2" customFormat="1">
      <c r="A1466" s="6" t="s">
        <v>3084</v>
      </c>
      <c r="B1466" s="2" t="s">
        <v>1504</v>
      </c>
      <c r="C1466" s="2" t="s">
        <v>2490</v>
      </c>
      <c r="D1466" s="2">
        <v>110000</v>
      </c>
      <c r="E1466" s="2">
        <v>611210</v>
      </c>
      <c r="F1466" s="2">
        <v>610110</v>
      </c>
      <c r="G1466" s="32">
        <f>50069+1260</f>
        <v>51329</v>
      </c>
      <c r="H1466" s="32">
        <f>50069+1260</f>
        <v>51329</v>
      </c>
    </row>
    <row r="1467" spans="1:8" s="2" customFormat="1">
      <c r="A1467" s="6" t="s">
        <v>3085</v>
      </c>
      <c r="B1467" s="2" t="s">
        <v>1505</v>
      </c>
      <c r="C1467" s="2" t="s">
        <v>2490</v>
      </c>
      <c r="D1467" s="2">
        <v>110000</v>
      </c>
      <c r="E1467" s="2">
        <v>611210</v>
      </c>
      <c r="F1467" s="2">
        <v>610110</v>
      </c>
      <c r="G1467" s="32">
        <f>66633+1864</f>
        <v>68497</v>
      </c>
      <c r="H1467" s="32">
        <f>66633+1864</f>
        <v>68497</v>
      </c>
    </row>
    <row r="1468" spans="1:8" s="2" customFormat="1">
      <c r="A1468" s="6" t="s">
        <v>3086</v>
      </c>
      <c r="B1468" s="2" t="s">
        <v>2811</v>
      </c>
      <c r="C1468" s="2" t="s">
        <v>2490</v>
      </c>
      <c r="D1468" s="2">
        <v>110000</v>
      </c>
      <c r="E1468" s="2">
        <v>611210</v>
      </c>
      <c r="F1468" s="2">
        <v>610110</v>
      </c>
      <c r="G1468" s="32">
        <f>44792+1364</f>
        <v>46156</v>
      </c>
      <c r="H1468" s="32">
        <f>44792+1364</f>
        <v>46156</v>
      </c>
    </row>
    <row r="1469" spans="1:8" s="2" customFormat="1">
      <c r="A1469" s="6" t="s">
        <v>3087</v>
      </c>
      <c r="B1469" s="2" t="s">
        <v>2812</v>
      </c>
      <c r="C1469" s="2" t="s">
        <v>2490</v>
      </c>
      <c r="D1469" s="2">
        <v>110000</v>
      </c>
      <c r="E1469" s="2">
        <v>611210</v>
      </c>
      <c r="F1469" s="2">
        <v>610110</v>
      </c>
      <c r="G1469" s="32">
        <f>54821+1002</f>
        <v>55823</v>
      </c>
      <c r="H1469" s="32">
        <f>54821+1002</f>
        <v>55823</v>
      </c>
    </row>
    <row r="1470" spans="1:8" s="2" customFormat="1">
      <c r="A1470" s="6" t="s">
        <v>3088</v>
      </c>
      <c r="B1470" s="2" t="s">
        <v>2813</v>
      </c>
      <c r="C1470" s="2" t="s">
        <v>544</v>
      </c>
      <c r="D1470" s="2">
        <v>110000</v>
      </c>
      <c r="E1470" s="2">
        <v>611210</v>
      </c>
      <c r="F1470" s="2">
        <v>610110</v>
      </c>
      <c r="G1470" s="32">
        <f>43133+1206</f>
        <v>44339</v>
      </c>
      <c r="H1470" s="32">
        <f>43133+1206</f>
        <v>44339</v>
      </c>
    </row>
    <row r="1471" spans="1:8" s="2" customFormat="1">
      <c r="A1471" s="6" t="s">
        <v>3089</v>
      </c>
      <c r="B1471" s="2" t="s">
        <v>2814</v>
      </c>
      <c r="C1471" s="2" t="s">
        <v>544</v>
      </c>
      <c r="D1471" s="2">
        <v>110000</v>
      </c>
      <c r="E1471" s="2">
        <v>611210</v>
      </c>
      <c r="F1471" s="2">
        <v>610110</v>
      </c>
      <c r="G1471" s="32">
        <f>40844+1364</f>
        <v>42208</v>
      </c>
      <c r="H1471" s="32">
        <f>40844+1364</f>
        <v>42208</v>
      </c>
    </row>
    <row r="1472" spans="1:8" s="2" customFormat="1">
      <c r="A1472" s="6" t="s">
        <v>3090</v>
      </c>
      <c r="B1472" s="2" t="s">
        <v>2815</v>
      </c>
      <c r="C1472" s="2" t="s">
        <v>544</v>
      </c>
      <c r="D1472" s="2">
        <v>110000</v>
      </c>
      <c r="E1472" s="2">
        <v>611210</v>
      </c>
      <c r="F1472" s="2">
        <v>610110</v>
      </c>
      <c r="G1472" s="32">
        <f>40239+1145</f>
        <v>41384</v>
      </c>
      <c r="H1472" s="32">
        <f>40239+1145</f>
        <v>41384</v>
      </c>
    </row>
    <row r="1473" spans="1:8" s="2" customFormat="1">
      <c r="A1473" s="6" t="s">
        <v>3091</v>
      </c>
      <c r="B1473" s="2" t="s">
        <v>2816</v>
      </c>
      <c r="C1473" s="2" t="s">
        <v>148</v>
      </c>
      <c r="D1473" s="2">
        <v>110000</v>
      </c>
      <c r="E1473" s="2">
        <v>611210</v>
      </c>
      <c r="F1473" s="2">
        <v>610110</v>
      </c>
      <c r="G1473" s="32">
        <f>38140+1287</f>
        <v>39427</v>
      </c>
      <c r="H1473" s="32">
        <f>38140+1287</f>
        <v>39427</v>
      </c>
    </row>
    <row r="1474" spans="1:8" s="2" customFormat="1">
      <c r="A1474" s="6" t="s">
        <v>3092</v>
      </c>
      <c r="B1474" s="2" t="s">
        <v>2817</v>
      </c>
      <c r="C1474" s="2" t="s">
        <v>148</v>
      </c>
      <c r="D1474" s="2">
        <v>110000</v>
      </c>
      <c r="E1474" s="2">
        <v>611210</v>
      </c>
      <c r="F1474" s="2">
        <v>610110</v>
      </c>
      <c r="G1474" s="32">
        <f>38700+1496</f>
        <v>40196</v>
      </c>
      <c r="H1474" s="32">
        <f>38700+1496</f>
        <v>40196</v>
      </c>
    </row>
    <row r="1475" spans="1:8" s="2" customFormat="1">
      <c r="A1475" s="6" t="s">
        <v>3093</v>
      </c>
      <c r="B1475" s="2" t="s">
        <v>1531</v>
      </c>
      <c r="C1475" s="2" t="s">
        <v>1023</v>
      </c>
      <c r="D1475" s="2">
        <v>110000</v>
      </c>
      <c r="E1475" s="2">
        <v>611210</v>
      </c>
      <c r="F1475" s="2">
        <v>610410</v>
      </c>
      <c r="G1475" s="32">
        <f>17249+483</f>
        <v>17732</v>
      </c>
      <c r="H1475" s="32">
        <f>17249+483</f>
        <v>17732</v>
      </c>
    </row>
    <row r="1476" spans="1:8" s="2" customFormat="1">
      <c r="A1476" s="6"/>
      <c r="C1476" s="2" t="s">
        <v>1611</v>
      </c>
      <c r="D1476" s="2">
        <v>110000</v>
      </c>
      <c r="E1476" s="2">
        <v>611210</v>
      </c>
      <c r="F1476" s="2">
        <v>620000</v>
      </c>
      <c r="G1476" s="32"/>
      <c r="H1476" s="32"/>
    </row>
    <row r="1477" spans="1:8" s="2" customFormat="1">
      <c r="A1477" s="6"/>
      <c r="C1477" s="2" t="s">
        <v>2950</v>
      </c>
      <c r="D1477" s="2">
        <v>110000</v>
      </c>
      <c r="E1477" s="2">
        <v>611210</v>
      </c>
      <c r="F1477" s="2">
        <v>610000</v>
      </c>
      <c r="G1477" s="36"/>
      <c r="H1477" s="36"/>
    </row>
    <row r="1478" spans="1:8" s="2" customFormat="1">
      <c r="A1478" s="6"/>
      <c r="C1478" s="2" t="s">
        <v>2951</v>
      </c>
      <c r="D1478" s="2">
        <v>110000</v>
      </c>
      <c r="E1478" s="2">
        <v>611210</v>
      </c>
      <c r="F1478" s="2">
        <v>630000</v>
      </c>
      <c r="G1478" s="32">
        <f>SUM(G1465:G1477)*0.21+217</f>
        <v>108986.5</v>
      </c>
      <c r="H1478" s="32">
        <f>SUM(H1465:H1477)*0.21+217</f>
        <v>108986.5</v>
      </c>
    </row>
    <row r="1479" spans="1:8" s="2" customFormat="1">
      <c r="A1479" s="6"/>
      <c r="C1479" s="8" t="s">
        <v>1129</v>
      </c>
      <c r="G1479" s="32">
        <f>SUM(G1465:G1478)</f>
        <v>626936.5</v>
      </c>
      <c r="H1479" s="32">
        <f>SUM(H1465:H1478)</f>
        <v>626936.5</v>
      </c>
    </row>
    <row r="1480" spans="1:8" s="2" customFormat="1">
      <c r="A1480" s="5"/>
      <c r="C1480" s="2" t="s">
        <v>2234</v>
      </c>
      <c r="D1480" s="2">
        <v>110000</v>
      </c>
      <c r="E1480" s="2">
        <v>611210</v>
      </c>
      <c r="F1480" s="2">
        <v>710000</v>
      </c>
      <c r="G1480" s="32">
        <v>11776</v>
      </c>
      <c r="H1480" s="32">
        <v>11776</v>
      </c>
    </row>
    <row r="1481" spans="1:8" s="2" customFormat="1">
      <c r="A1481" s="5"/>
      <c r="C1481" s="8" t="s">
        <v>2235</v>
      </c>
      <c r="G1481" s="32">
        <f>G1479+G1480</f>
        <v>638712.5</v>
      </c>
      <c r="H1481" s="32">
        <f>H1479+H1480</f>
        <v>638712.5</v>
      </c>
    </row>
    <row r="1482" spans="1:8" s="2" customFormat="1">
      <c r="A1482" s="6"/>
      <c r="G1482" s="32"/>
      <c r="H1482" s="32"/>
    </row>
    <row r="1483" spans="1:8" s="2" customFormat="1">
      <c r="A1483" s="5" t="s">
        <v>2518</v>
      </c>
      <c r="B1483" s="2" t="s">
        <v>1789</v>
      </c>
      <c r="G1483" s="32"/>
      <c r="H1483" s="32"/>
    </row>
    <row r="1484" spans="1:8" s="2" customFormat="1">
      <c r="A1484" s="5"/>
      <c r="G1484" s="32"/>
      <c r="H1484" s="32"/>
    </row>
    <row r="1485" spans="1:8" s="2" customFormat="1">
      <c r="A1485" s="5"/>
      <c r="C1485" s="2" t="s">
        <v>2234</v>
      </c>
      <c r="D1485" s="2">
        <v>110000</v>
      </c>
      <c r="E1485" s="2">
        <v>611210</v>
      </c>
      <c r="F1485" s="2">
        <v>710000</v>
      </c>
      <c r="G1485" s="32">
        <v>425</v>
      </c>
      <c r="H1485" s="32">
        <v>425</v>
      </c>
    </row>
    <row r="1486" spans="1:8" s="2" customFormat="1">
      <c r="A1486" s="5"/>
      <c r="C1486" s="8" t="s">
        <v>2235</v>
      </c>
      <c r="G1486" s="32">
        <v>425</v>
      </c>
      <c r="H1486" s="32">
        <v>425</v>
      </c>
    </row>
    <row r="1487" spans="1:8" s="2" customFormat="1">
      <c r="A1487" s="5"/>
      <c r="G1487" s="32"/>
      <c r="H1487" s="32"/>
    </row>
    <row r="1488" spans="1:8" s="2" customFormat="1">
      <c r="A1488" s="5" t="s">
        <v>2518</v>
      </c>
      <c r="B1488" s="2" t="s">
        <v>1790</v>
      </c>
      <c r="G1488" s="32"/>
      <c r="H1488" s="32"/>
    </row>
    <row r="1489" spans="1:8" s="2" customFormat="1">
      <c r="A1489" s="5"/>
      <c r="G1489" s="32"/>
      <c r="H1489" s="32"/>
    </row>
    <row r="1490" spans="1:8" s="2" customFormat="1">
      <c r="A1490" s="5"/>
      <c r="C1490" s="2" t="s">
        <v>2234</v>
      </c>
      <c r="D1490" s="2">
        <v>110000</v>
      </c>
      <c r="E1490" s="2">
        <v>611210</v>
      </c>
      <c r="F1490" s="2">
        <v>710000</v>
      </c>
      <c r="G1490" s="32">
        <v>768</v>
      </c>
      <c r="H1490" s="32">
        <v>768</v>
      </c>
    </row>
    <row r="1491" spans="1:8" s="2" customFormat="1">
      <c r="A1491" s="5"/>
      <c r="C1491" s="8" t="s">
        <v>2235</v>
      </c>
      <c r="G1491" s="32">
        <v>768</v>
      </c>
      <c r="H1491" s="32">
        <v>768</v>
      </c>
    </row>
    <row r="1492" spans="1:8" s="2" customFormat="1">
      <c r="A1492" s="5"/>
      <c r="G1492" s="32"/>
      <c r="H1492" s="32"/>
    </row>
    <row r="1493" spans="1:8" s="2" customFormat="1">
      <c r="A1493" s="5" t="s">
        <v>2519</v>
      </c>
      <c r="B1493" s="2" t="s">
        <v>2960</v>
      </c>
      <c r="G1493" s="32"/>
      <c r="H1493" s="32"/>
    </row>
    <row r="1494" spans="1:8" s="2" customFormat="1">
      <c r="A1494" s="5"/>
      <c r="G1494" s="32"/>
      <c r="H1494" s="32"/>
    </row>
    <row r="1495" spans="1:8" s="2" customFormat="1">
      <c r="A1495" s="5"/>
      <c r="C1495" s="2" t="s">
        <v>2234</v>
      </c>
      <c r="D1495" s="2">
        <v>110000</v>
      </c>
      <c r="E1495" s="2">
        <v>611211</v>
      </c>
      <c r="F1495" s="2">
        <v>710000</v>
      </c>
      <c r="G1495" s="32">
        <v>936</v>
      </c>
      <c r="H1495" s="32">
        <v>936</v>
      </c>
    </row>
    <row r="1496" spans="1:8" s="2" customFormat="1">
      <c r="A1496" s="5"/>
      <c r="C1496" s="8" t="s">
        <v>2235</v>
      </c>
      <c r="G1496" s="32">
        <f>G1495</f>
        <v>936</v>
      </c>
      <c r="H1496" s="32">
        <f>H1495</f>
        <v>936</v>
      </c>
    </row>
    <row r="1497" spans="1:8" s="2" customFormat="1">
      <c r="A1497" s="6"/>
      <c r="G1497" s="32"/>
      <c r="H1497" s="32"/>
    </row>
    <row r="1498" spans="1:8" s="2" customFormat="1">
      <c r="A1498" s="5" t="s">
        <v>2520</v>
      </c>
      <c r="B1498" s="2" t="s">
        <v>1791</v>
      </c>
      <c r="G1498" s="32"/>
      <c r="H1498" s="32"/>
    </row>
    <row r="1499" spans="1:8" s="2" customFormat="1">
      <c r="A1499" s="5"/>
      <c r="G1499" s="32"/>
      <c r="H1499" s="32"/>
    </row>
    <row r="1500" spans="1:8" s="2" customFormat="1">
      <c r="A1500" s="6" t="s">
        <v>628</v>
      </c>
      <c r="B1500" s="2" t="s">
        <v>1792</v>
      </c>
      <c r="C1500" s="2" t="s">
        <v>2490</v>
      </c>
      <c r="D1500" s="2">
        <v>110000</v>
      </c>
      <c r="E1500" s="2">
        <v>611310</v>
      </c>
      <c r="F1500" s="2">
        <v>610110</v>
      </c>
      <c r="G1500" s="32">
        <f>27466+742</f>
        <v>28208</v>
      </c>
      <c r="H1500" s="32">
        <f>27466+742</f>
        <v>28208</v>
      </c>
    </row>
    <row r="1501" spans="1:8" s="2" customFormat="1">
      <c r="A1501" s="6"/>
      <c r="D1501" s="2">
        <v>160145</v>
      </c>
      <c r="E1501" s="2">
        <v>611400</v>
      </c>
      <c r="F1501" s="2">
        <v>610110</v>
      </c>
      <c r="G1501" s="32">
        <v>50000</v>
      </c>
      <c r="H1501" s="32"/>
    </row>
    <row r="1502" spans="1:8" s="2" customFormat="1">
      <c r="A1502" s="6"/>
      <c r="E1502" s="2" t="s">
        <v>2880</v>
      </c>
      <c r="G1502" s="32">
        <f>SUM(G1500:G1501)</f>
        <v>78208</v>
      </c>
      <c r="H1502" s="32">
        <f>SUM(H1500:H1501)</f>
        <v>28208</v>
      </c>
    </row>
    <row r="1503" spans="1:8" s="2" customFormat="1">
      <c r="A1503" s="6" t="s">
        <v>629</v>
      </c>
      <c r="B1503" s="2" t="s">
        <v>1537</v>
      </c>
      <c r="C1503" s="2" t="s">
        <v>2170</v>
      </c>
      <c r="D1503" s="2">
        <v>110000</v>
      </c>
      <c r="E1503" s="2">
        <v>611310</v>
      </c>
      <c r="F1503" s="2">
        <v>610210</v>
      </c>
      <c r="G1503" s="32">
        <f>30000+840</f>
        <v>30840</v>
      </c>
      <c r="H1503" s="32">
        <f>30000+840</f>
        <v>30840</v>
      </c>
    </row>
    <row r="1504" spans="1:8" s="2" customFormat="1">
      <c r="A1504" s="6" t="s">
        <v>630</v>
      </c>
      <c r="B1504" s="2" t="s">
        <v>1793</v>
      </c>
      <c r="C1504" s="2" t="s">
        <v>1061</v>
      </c>
      <c r="D1504" s="2">
        <v>110000</v>
      </c>
      <c r="E1504" s="2">
        <v>611310</v>
      </c>
      <c r="F1504" s="2">
        <v>610410</v>
      </c>
      <c r="G1504" s="32">
        <f>21188+593</f>
        <v>21781</v>
      </c>
      <c r="H1504" s="32">
        <f>21188+593</f>
        <v>21781</v>
      </c>
    </row>
    <row r="1505" spans="1:8" s="2" customFormat="1">
      <c r="A1505" s="6"/>
      <c r="C1505" s="2" t="s">
        <v>2950</v>
      </c>
      <c r="D1505" s="2">
        <v>110000</v>
      </c>
      <c r="E1505" s="2">
        <v>611310</v>
      </c>
      <c r="F1505" s="2">
        <v>610000</v>
      </c>
      <c r="G1505" s="36"/>
      <c r="H1505" s="36"/>
    </row>
    <row r="1506" spans="1:8" s="2" customFormat="1">
      <c r="A1506" s="5"/>
      <c r="C1506" s="2" t="s">
        <v>2951</v>
      </c>
      <c r="D1506" s="2">
        <v>110000</v>
      </c>
      <c r="E1506" s="2">
        <v>611310</v>
      </c>
      <c r="F1506" s="2">
        <v>630000</v>
      </c>
      <c r="G1506" s="32">
        <f>(SUM(G1500:G1505)-G1502)*0.18</f>
        <v>23549.219999999998</v>
      </c>
      <c r="H1506" s="32">
        <f>(SUM(H1500:H1505)-H1502)*0.18</f>
        <v>14549.22</v>
      </c>
    </row>
    <row r="1507" spans="1:8" s="2" customFormat="1">
      <c r="A1507" s="5"/>
      <c r="C1507" s="8" t="s">
        <v>1129</v>
      </c>
      <c r="G1507" s="32">
        <f>SUM(G1500:G1506)-G1502</f>
        <v>154378.22</v>
      </c>
      <c r="H1507" s="32">
        <f>SUM(H1500:H1506)-H1502</f>
        <v>95378.22</v>
      </c>
    </row>
    <row r="1508" spans="1:8" s="2" customFormat="1">
      <c r="A1508" s="5"/>
      <c r="C1508" s="2" t="s">
        <v>2234</v>
      </c>
      <c r="D1508" s="2">
        <v>110000</v>
      </c>
      <c r="E1508" s="2">
        <v>611310</v>
      </c>
      <c r="F1508" s="2">
        <v>710000</v>
      </c>
      <c r="G1508" s="32">
        <f>H1508</f>
        <v>79621.78</v>
      </c>
      <c r="H1508" s="32">
        <f>H1509-H1507</f>
        <v>79621.78</v>
      </c>
    </row>
    <row r="1509" spans="1:8" s="2" customFormat="1">
      <c r="A1509" s="5"/>
      <c r="C1509" s="8" t="s">
        <v>2235</v>
      </c>
      <c r="G1509" s="32">
        <f>G1507+G1508</f>
        <v>234000</v>
      </c>
      <c r="H1509" s="32">
        <f>150000+25000</f>
        <v>175000</v>
      </c>
    </row>
    <row r="1510" spans="1:8" s="2" customFormat="1">
      <c r="A1510" s="5"/>
      <c r="G1510" s="32"/>
      <c r="H1510" s="32"/>
    </row>
    <row r="1511" spans="1:8" s="2" customFormat="1">
      <c r="A1511" s="6" t="s">
        <v>2532</v>
      </c>
      <c r="B1511" s="2" t="s">
        <v>791</v>
      </c>
      <c r="D1511" s="26"/>
      <c r="G1511" s="32"/>
      <c r="H1511" s="32"/>
    </row>
    <row r="1512" spans="1:8" s="2" customFormat="1">
      <c r="D1512" s="26"/>
      <c r="G1512" s="32"/>
      <c r="H1512" s="32"/>
    </row>
    <row r="1513" spans="1:8" s="2" customFormat="1">
      <c r="A1513" s="5" t="s">
        <v>1850</v>
      </c>
      <c r="B1513" s="2" t="s">
        <v>792</v>
      </c>
      <c r="C1513" s="2" t="s">
        <v>1152</v>
      </c>
      <c r="D1513" s="26">
        <v>110000</v>
      </c>
      <c r="E1513" s="2">
        <v>611410</v>
      </c>
      <c r="F1513" s="2">
        <v>610110</v>
      </c>
      <c r="G1513" s="32">
        <v>40604</v>
      </c>
      <c r="H1513" s="32">
        <v>40604</v>
      </c>
    </row>
    <row r="1514" spans="1:8" s="2" customFormat="1">
      <c r="A1514" s="5" t="s">
        <v>1851</v>
      </c>
      <c r="B1514" s="2" t="s">
        <v>793</v>
      </c>
      <c r="C1514" s="2" t="s">
        <v>2106</v>
      </c>
      <c r="D1514" s="26">
        <v>110000</v>
      </c>
      <c r="E1514" s="2">
        <v>611410</v>
      </c>
      <c r="F1514" s="2">
        <v>610110</v>
      </c>
      <c r="G1514" s="32">
        <f>38371+1074</f>
        <v>39445</v>
      </c>
      <c r="H1514" s="32">
        <f>38371+1074</f>
        <v>39445</v>
      </c>
    </row>
    <row r="1515" spans="1:8" s="2" customFormat="1">
      <c r="A1515" s="15" t="s">
        <v>923</v>
      </c>
      <c r="B1515" s="2" t="s">
        <v>213</v>
      </c>
      <c r="C1515" s="2" t="s">
        <v>1061</v>
      </c>
      <c r="D1515" s="26">
        <v>110000</v>
      </c>
      <c r="E1515" s="2">
        <v>611410</v>
      </c>
      <c r="F1515" s="2">
        <v>610410</v>
      </c>
      <c r="G1515" s="32">
        <f>20167+565</f>
        <v>20732</v>
      </c>
      <c r="H1515" s="32">
        <f>20167+565</f>
        <v>20732</v>
      </c>
    </row>
    <row r="1516" spans="1:8" s="2" customFormat="1">
      <c r="A1516" s="5" t="s">
        <v>214</v>
      </c>
      <c r="C1516" s="2" t="s">
        <v>1563</v>
      </c>
      <c r="D1516" s="26">
        <v>110000</v>
      </c>
      <c r="E1516" s="2">
        <v>611410</v>
      </c>
      <c r="F1516" s="2">
        <v>610300</v>
      </c>
      <c r="G1516" s="32">
        <v>37684</v>
      </c>
      <c r="H1516" s="32">
        <v>37684</v>
      </c>
    </row>
    <row r="1517" spans="1:8" s="2" customFormat="1">
      <c r="A1517" s="5" t="s">
        <v>215</v>
      </c>
      <c r="C1517" s="2" t="s">
        <v>2903</v>
      </c>
      <c r="D1517" s="26">
        <v>110000</v>
      </c>
      <c r="E1517" s="2">
        <v>611410</v>
      </c>
      <c r="F1517" s="2">
        <v>620000</v>
      </c>
      <c r="G1517" s="32">
        <v>5000</v>
      </c>
      <c r="H1517" s="32">
        <v>5000</v>
      </c>
    </row>
    <row r="1518" spans="1:8" s="2" customFormat="1">
      <c r="A1518" s="5" t="s">
        <v>216</v>
      </c>
      <c r="C1518" s="2" t="s">
        <v>2950</v>
      </c>
      <c r="D1518" s="26">
        <v>110000</v>
      </c>
      <c r="E1518" s="2">
        <v>611410</v>
      </c>
      <c r="F1518" s="2">
        <v>610000</v>
      </c>
      <c r="G1518" s="32">
        <v>10200</v>
      </c>
      <c r="H1518" s="32">
        <v>10200</v>
      </c>
    </row>
    <row r="1519" spans="1:8" s="2" customFormat="1">
      <c r="C1519" s="2" t="s">
        <v>2951</v>
      </c>
      <c r="D1519" s="26">
        <v>110000</v>
      </c>
      <c r="E1519" s="2">
        <v>611410</v>
      </c>
      <c r="F1519" s="2">
        <v>630000</v>
      </c>
      <c r="G1519" s="32">
        <f>SUM(G1513:G1518)*0.2</f>
        <v>30733</v>
      </c>
      <c r="H1519" s="32">
        <f>SUM(H1513:H1518)*0.2</f>
        <v>30733</v>
      </c>
    </row>
    <row r="1520" spans="1:8" s="2" customFormat="1">
      <c r="C1520" s="8" t="s">
        <v>1129</v>
      </c>
      <c r="D1520" s="26"/>
      <c r="G1520" s="32">
        <f>SUM(G1513:G1519)</f>
        <v>184398</v>
      </c>
      <c r="H1520" s="32">
        <f>SUM(H1513:H1519)</f>
        <v>184398</v>
      </c>
    </row>
    <row r="1521" spans="1:8" s="2" customFormat="1">
      <c r="C1521" s="2" t="s">
        <v>2234</v>
      </c>
      <c r="D1521" s="26">
        <v>110000</v>
      </c>
      <c r="E1521" s="2">
        <v>611410</v>
      </c>
      <c r="F1521" s="2">
        <v>710000</v>
      </c>
      <c r="G1521" s="32">
        <f>9759+3272+34</f>
        <v>13065</v>
      </c>
      <c r="H1521" s="32">
        <f>9759+3272+34</f>
        <v>13065</v>
      </c>
    </row>
    <row r="1522" spans="1:8" s="2" customFormat="1">
      <c r="C1522" s="2" t="s">
        <v>2147</v>
      </c>
      <c r="D1522" s="26">
        <v>110000</v>
      </c>
      <c r="E1522" s="2">
        <v>611410</v>
      </c>
      <c r="F1522" s="2">
        <v>790700</v>
      </c>
      <c r="G1522" s="32">
        <f>(G1520+G1521)*0.1</f>
        <v>19746.300000000003</v>
      </c>
      <c r="H1522" s="32">
        <f>(H1520+H1521)*0.1</f>
        <v>19746.300000000003</v>
      </c>
    </row>
    <row r="1523" spans="1:8" s="2" customFormat="1">
      <c r="C1523" s="8" t="s">
        <v>2235</v>
      </c>
      <c r="D1523" s="26"/>
      <c r="G1523" s="32">
        <f>SUM(G1520:G1522)</f>
        <v>217209.3</v>
      </c>
      <c r="H1523" s="32">
        <f>SUM(H1520:H1522)</f>
        <v>217209.3</v>
      </c>
    </row>
    <row r="1524" spans="1:8" s="2" customFormat="1">
      <c r="C1524" s="8"/>
      <c r="D1524" s="26"/>
      <c r="G1524" s="32"/>
      <c r="H1524" s="32"/>
    </row>
    <row r="1525" spans="1:8" s="2" customFormat="1">
      <c r="A1525" s="5" t="s">
        <v>3047</v>
      </c>
      <c r="B1525" s="2" t="s">
        <v>327</v>
      </c>
      <c r="E1525" s="20"/>
      <c r="G1525" s="32"/>
      <c r="H1525" s="32"/>
    </row>
    <row r="1526" spans="1:8" s="2" customFormat="1">
      <c r="A1526" s="5"/>
      <c r="E1526" s="20"/>
      <c r="G1526" s="32"/>
      <c r="H1526" s="32"/>
    </row>
    <row r="1527" spans="1:8" s="2" customFormat="1">
      <c r="A1527" s="5"/>
      <c r="C1527" s="2" t="s">
        <v>328</v>
      </c>
      <c r="D1527" s="2">
        <v>110000</v>
      </c>
      <c r="E1527" s="20" t="s">
        <v>3047</v>
      </c>
      <c r="F1527" s="19">
        <v>799999</v>
      </c>
      <c r="G1527" s="32">
        <f>59923-2397</f>
        <v>57526</v>
      </c>
      <c r="H1527" s="32">
        <f>59923-2397</f>
        <v>57526</v>
      </c>
    </row>
    <row r="1528" spans="1:8" s="2" customFormat="1">
      <c r="A1528" s="5"/>
      <c r="C1528" s="2" t="s">
        <v>2063</v>
      </c>
      <c r="D1528" s="2">
        <v>110000</v>
      </c>
      <c r="E1528" s="20" t="s">
        <v>3047</v>
      </c>
      <c r="F1528" s="19">
        <v>799999</v>
      </c>
      <c r="G1528" s="32">
        <f>297097-11884</f>
        <v>285213</v>
      </c>
      <c r="H1528" s="32">
        <f>297097-11884</f>
        <v>285213</v>
      </c>
    </row>
    <row r="1529" spans="1:8" s="2" customFormat="1">
      <c r="A1529" s="5"/>
      <c r="C1529" s="2" t="s">
        <v>2950</v>
      </c>
      <c r="D1529" s="2">
        <v>110000</v>
      </c>
      <c r="E1529" s="20" t="s">
        <v>3047</v>
      </c>
      <c r="F1529" s="19">
        <v>799999</v>
      </c>
      <c r="G1529" s="32"/>
      <c r="H1529" s="32"/>
    </row>
    <row r="1530" spans="1:8" s="2" customFormat="1">
      <c r="A1530" s="5"/>
      <c r="C1530" s="2" t="s">
        <v>2951</v>
      </c>
      <c r="D1530" s="2">
        <v>110000</v>
      </c>
      <c r="E1530" s="20" t="s">
        <v>3047</v>
      </c>
      <c r="F1530" s="19">
        <v>799999</v>
      </c>
      <c r="G1530" s="32">
        <f>G1527*0.08+G1528*0.18+G1529*0.21</f>
        <v>55940.42</v>
      </c>
      <c r="H1530" s="32">
        <f>H1527*0.08+H1528*0.18+H1529*0.21</f>
        <v>55940.42</v>
      </c>
    </row>
    <row r="1531" spans="1:8" s="2" customFormat="1">
      <c r="A1531" s="5"/>
      <c r="C1531" s="8" t="s">
        <v>1129</v>
      </c>
      <c r="E1531" s="20"/>
      <c r="G1531" s="32">
        <f>SUM(G1527:G1530)</f>
        <v>398679.42</v>
      </c>
      <c r="H1531" s="32">
        <f>SUM(H1527:H1530)</f>
        <v>398679.42</v>
      </c>
    </row>
    <row r="1532" spans="1:8" s="2" customFormat="1">
      <c r="A1532" s="5"/>
      <c r="C1532" s="8" t="s">
        <v>2235</v>
      </c>
      <c r="E1532" s="20"/>
      <c r="G1532" s="32">
        <f>G1531</f>
        <v>398679.42</v>
      </c>
      <c r="H1532" s="32">
        <f>H1531</f>
        <v>398679.42</v>
      </c>
    </row>
    <row r="1533" spans="1:8" s="2" customFormat="1">
      <c r="A1533" s="5"/>
      <c r="E1533" s="20"/>
      <c r="G1533" s="32"/>
      <c r="H1533" s="32"/>
    </row>
    <row r="1534" spans="1:8" s="2" customFormat="1">
      <c r="A1534" s="15">
        <v>620000</v>
      </c>
      <c r="B1534" s="2" t="s">
        <v>946</v>
      </c>
      <c r="D1534" s="26"/>
      <c r="G1534" s="32"/>
      <c r="H1534" s="32"/>
    </row>
    <row r="1535" spans="1:8" s="2" customFormat="1">
      <c r="D1535" s="26"/>
      <c r="G1535" s="32"/>
      <c r="H1535" s="32"/>
    </row>
    <row r="1536" spans="1:8" s="2" customFormat="1">
      <c r="A1536" s="5" t="s">
        <v>2038</v>
      </c>
      <c r="B1536" s="2" t="s">
        <v>155</v>
      </c>
      <c r="C1536" s="2" t="s">
        <v>2666</v>
      </c>
      <c r="D1536" s="26">
        <v>110000</v>
      </c>
      <c r="E1536" s="2">
        <v>620310</v>
      </c>
      <c r="F1536" s="2">
        <v>610410</v>
      </c>
      <c r="G1536" s="32">
        <f>11343+318</f>
        <v>11661</v>
      </c>
      <c r="H1536" s="32"/>
    </row>
    <row r="1537" spans="1:8" s="2" customFormat="1">
      <c r="A1537" s="5"/>
      <c r="D1537" s="26">
        <v>110000</v>
      </c>
      <c r="E1537" s="2">
        <v>620000</v>
      </c>
      <c r="F1537" s="2">
        <v>610410</v>
      </c>
      <c r="G1537" s="32">
        <f>11343+317</f>
        <v>11660</v>
      </c>
      <c r="H1537" s="32">
        <f>11343+317</f>
        <v>11660</v>
      </c>
    </row>
    <row r="1538" spans="1:8" s="2" customFormat="1">
      <c r="A1538" s="5"/>
      <c r="D1538" s="26"/>
      <c r="E1538" s="2" t="s">
        <v>2880</v>
      </c>
      <c r="G1538" s="32">
        <f>G1536+G1537</f>
        <v>23321</v>
      </c>
      <c r="H1538" s="32">
        <f>H1536+H1537</f>
        <v>11660</v>
      </c>
    </row>
    <row r="1539" spans="1:8" s="2" customFormat="1">
      <c r="A1539" s="6" t="s">
        <v>2145</v>
      </c>
      <c r="C1539" s="2" t="s">
        <v>62</v>
      </c>
      <c r="D1539" s="26">
        <v>110000</v>
      </c>
      <c r="E1539" s="2">
        <v>620000</v>
      </c>
      <c r="F1539" s="2">
        <v>610510</v>
      </c>
      <c r="G1539" s="32">
        <v>6200</v>
      </c>
      <c r="H1539" s="32">
        <v>6200</v>
      </c>
    </row>
    <row r="1540" spans="1:8" s="2" customFormat="1">
      <c r="A1540" s="6" t="s">
        <v>2146</v>
      </c>
      <c r="C1540" s="2" t="s">
        <v>2950</v>
      </c>
      <c r="D1540" s="26">
        <v>110000</v>
      </c>
      <c r="E1540" s="2">
        <v>620000</v>
      </c>
      <c r="F1540" s="2">
        <v>610000</v>
      </c>
      <c r="G1540" s="32">
        <f>200000-11343</f>
        <v>188657</v>
      </c>
      <c r="H1540" s="32">
        <f>200000-11343-357</f>
        <v>188300</v>
      </c>
    </row>
    <row r="1541" spans="1:8" s="2" customFormat="1">
      <c r="C1541" s="2" t="s">
        <v>2951</v>
      </c>
      <c r="D1541" s="26">
        <v>110000</v>
      </c>
      <c r="E1541" s="2">
        <v>620000</v>
      </c>
      <c r="F1541" s="2">
        <v>630000</v>
      </c>
      <c r="G1541" s="32">
        <f>45000+40</f>
        <v>45040</v>
      </c>
      <c r="H1541" s="32">
        <f>45000+40</f>
        <v>45040</v>
      </c>
    </row>
    <row r="1542" spans="1:8" s="2" customFormat="1">
      <c r="C1542" s="8" t="s">
        <v>1129</v>
      </c>
      <c r="D1542" s="26"/>
      <c r="G1542" s="32">
        <f>SUM(G1536:G1541)-G1538</f>
        <v>263218</v>
      </c>
      <c r="H1542" s="32">
        <f>SUM(H1536:H1541)-H1538</f>
        <v>251200</v>
      </c>
    </row>
    <row r="1543" spans="1:8" s="2" customFormat="1">
      <c r="C1543" s="2" t="s">
        <v>2234</v>
      </c>
      <c r="D1543" s="26">
        <v>110000</v>
      </c>
      <c r="E1543" s="2">
        <v>620000</v>
      </c>
      <c r="F1543" s="2">
        <v>710000</v>
      </c>
      <c r="G1543" s="32">
        <v>78800</v>
      </c>
      <c r="H1543" s="32">
        <v>78800</v>
      </c>
    </row>
    <row r="1544" spans="1:8" s="2" customFormat="1">
      <c r="C1544" s="2" t="s">
        <v>2147</v>
      </c>
      <c r="D1544" s="26">
        <v>110000</v>
      </c>
      <c r="E1544" s="2">
        <v>620000</v>
      </c>
      <c r="F1544" s="2">
        <v>790700</v>
      </c>
      <c r="G1544" s="32">
        <v>36600</v>
      </c>
      <c r="H1544" s="32">
        <v>36600</v>
      </c>
    </row>
    <row r="1545" spans="1:8" s="2" customFormat="1">
      <c r="C1545" s="8" t="s">
        <v>2235</v>
      </c>
      <c r="D1545" s="26"/>
      <c r="G1545" s="32">
        <f>SUM(G1542:G1544)</f>
        <v>378618</v>
      </c>
      <c r="H1545" s="32">
        <f>SUM(H1542:H1544)</f>
        <v>366600</v>
      </c>
    </row>
    <row r="1546" spans="1:8" s="2" customFormat="1">
      <c r="D1546" s="26"/>
      <c r="G1546" s="32"/>
      <c r="H1546" s="32"/>
    </row>
    <row r="1547" spans="1:8" s="2" customFormat="1">
      <c r="A1547" s="15">
        <v>620000</v>
      </c>
      <c r="B1547" s="2" t="s">
        <v>217</v>
      </c>
      <c r="C1547" s="8"/>
      <c r="D1547" s="26"/>
      <c r="G1547" s="32"/>
      <c r="H1547" s="32"/>
    </row>
    <row r="1548" spans="1:8" s="2" customFormat="1">
      <c r="C1548" s="8"/>
      <c r="D1548" s="26"/>
      <c r="G1548" s="32"/>
      <c r="H1548" s="32"/>
    </row>
    <row r="1549" spans="1:8" s="2" customFormat="1">
      <c r="A1549" s="2" t="s">
        <v>218</v>
      </c>
      <c r="C1549" s="2" t="s">
        <v>2950</v>
      </c>
      <c r="D1549" s="26">
        <v>110000</v>
      </c>
      <c r="E1549" s="2">
        <v>620000</v>
      </c>
      <c r="F1549" s="2">
        <v>610000</v>
      </c>
      <c r="G1549" s="32">
        <v>36000</v>
      </c>
      <c r="H1549" s="32">
        <v>36000</v>
      </c>
    </row>
    <row r="1550" spans="1:8" s="2" customFormat="1">
      <c r="C1550" s="2" t="s">
        <v>2951</v>
      </c>
      <c r="D1550" s="26">
        <v>110000</v>
      </c>
      <c r="E1550" s="2">
        <v>620000</v>
      </c>
      <c r="F1550" s="2">
        <v>630000</v>
      </c>
      <c r="G1550" s="32">
        <v>6975</v>
      </c>
      <c r="H1550" s="32">
        <v>6975</v>
      </c>
    </row>
    <row r="1551" spans="1:8" s="2" customFormat="1">
      <c r="C1551" s="8" t="s">
        <v>1129</v>
      </c>
      <c r="D1551" s="26"/>
      <c r="G1551" s="32">
        <f>SUM(G1549:G1550)</f>
        <v>42975</v>
      </c>
      <c r="H1551" s="32">
        <f>SUM(H1549:H1550)</f>
        <v>42975</v>
      </c>
    </row>
    <row r="1552" spans="1:8" s="2" customFormat="1">
      <c r="C1552" s="2" t="s">
        <v>2234</v>
      </c>
      <c r="D1552" s="26">
        <v>110000</v>
      </c>
      <c r="E1552" s="2">
        <v>620000</v>
      </c>
      <c r="F1552" s="2">
        <v>710000</v>
      </c>
      <c r="G1552" s="32">
        <v>11025</v>
      </c>
      <c r="H1552" s="32">
        <v>11025</v>
      </c>
    </row>
    <row r="1553" spans="1:8" s="2" customFormat="1">
      <c r="C1553" s="2" t="s">
        <v>2147</v>
      </c>
      <c r="D1553" s="26">
        <v>110000</v>
      </c>
      <c r="E1553" s="2">
        <v>620000</v>
      </c>
      <c r="F1553" s="2">
        <v>790700</v>
      </c>
      <c r="G1553" s="32">
        <v>6000</v>
      </c>
      <c r="H1553" s="32">
        <v>6000</v>
      </c>
    </row>
    <row r="1554" spans="1:8" s="2" customFormat="1">
      <c r="C1554" s="8" t="s">
        <v>2235</v>
      </c>
      <c r="D1554" s="26"/>
      <c r="G1554" s="32">
        <f>SUM(G1551:G1553)</f>
        <v>60000</v>
      </c>
      <c r="H1554" s="32">
        <f>SUM(H1551:H1553)</f>
        <v>60000</v>
      </c>
    </row>
    <row r="1555" spans="1:8" s="2" customFormat="1">
      <c r="C1555" s="8"/>
      <c r="D1555" s="26"/>
      <c r="G1555" s="32"/>
      <c r="H1555" s="32"/>
    </row>
    <row r="1556" spans="1:8" s="2" customFormat="1">
      <c r="A1556" s="15">
        <v>620000</v>
      </c>
      <c r="B1556" s="2" t="s">
        <v>1803</v>
      </c>
      <c r="D1556" s="26"/>
      <c r="G1556" s="32"/>
      <c r="H1556" s="32"/>
    </row>
    <row r="1557" spans="1:8" s="2" customFormat="1">
      <c r="A1557" s="15"/>
      <c r="D1557" s="26"/>
      <c r="G1557" s="32"/>
      <c r="H1557" s="32"/>
    </row>
    <row r="1558" spans="1:8" s="2" customFormat="1">
      <c r="A1558" s="15"/>
      <c r="C1558" s="2" t="s">
        <v>1804</v>
      </c>
      <c r="D1558" s="26">
        <v>110000</v>
      </c>
      <c r="E1558" s="2">
        <v>620000</v>
      </c>
      <c r="F1558" s="2">
        <v>710000</v>
      </c>
      <c r="G1558" s="32">
        <v>23034</v>
      </c>
      <c r="H1558" s="32">
        <v>23034</v>
      </c>
    </row>
    <row r="1559" spans="1:8" s="2" customFormat="1">
      <c r="A1559" s="15"/>
      <c r="C1559" s="8" t="s">
        <v>2235</v>
      </c>
      <c r="D1559" s="26"/>
      <c r="G1559" s="32">
        <f>G1558</f>
        <v>23034</v>
      </c>
      <c r="H1559" s="32">
        <f>H1558</f>
        <v>23034</v>
      </c>
    </row>
    <row r="1560" spans="1:8" s="2" customFormat="1">
      <c r="A1560" s="15"/>
      <c r="D1560" s="26"/>
      <c r="G1560" s="32"/>
      <c r="H1560" s="32"/>
    </row>
    <row r="1561" spans="1:8" s="2" customFormat="1">
      <c r="A1561" s="6" t="s">
        <v>490</v>
      </c>
      <c r="B1561" s="2" t="s">
        <v>2752</v>
      </c>
      <c r="E1561" s="20"/>
      <c r="G1561" s="32"/>
      <c r="H1561" s="32"/>
    </row>
    <row r="1562" spans="1:8" s="2" customFormat="1">
      <c r="A1562" s="5"/>
      <c r="E1562" s="20"/>
      <c r="G1562" s="32"/>
      <c r="H1562" s="32"/>
    </row>
    <row r="1563" spans="1:8" s="2" customFormat="1">
      <c r="A1563" s="5" t="s">
        <v>2314</v>
      </c>
      <c r="B1563" s="2" t="s">
        <v>2753</v>
      </c>
      <c r="C1563" s="2" t="s">
        <v>1022</v>
      </c>
      <c r="D1563" s="2">
        <v>110000</v>
      </c>
      <c r="E1563" s="23" t="s">
        <v>490</v>
      </c>
      <c r="F1563" s="25">
        <v>610110</v>
      </c>
      <c r="G1563" s="32">
        <f>130403+3782</f>
        <v>134185</v>
      </c>
      <c r="H1563" s="32">
        <f>130403+3782</f>
        <v>134185</v>
      </c>
    </row>
    <row r="1564" spans="1:8" s="2" customFormat="1">
      <c r="A1564" s="5"/>
      <c r="E1564" s="20"/>
      <c r="G1564" s="32">
        <v>6954</v>
      </c>
      <c r="H1564" s="32"/>
    </row>
    <row r="1565" spans="1:8" s="2" customFormat="1">
      <c r="A1565" s="5"/>
      <c r="E1565" s="5" t="s">
        <v>2880</v>
      </c>
      <c r="G1565" s="32">
        <f>G1563+G1564</f>
        <v>141139</v>
      </c>
      <c r="H1565" s="32">
        <f>H1563+H1564</f>
        <v>134185</v>
      </c>
    </row>
    <row r="1566" spans="1:8" s="2" customFormat="1">
      <c r="A1566" s="5" t="s">
        <v>2315</v>
      </c>
      <c r="B1566" s="2" t="s">
        <v>3190</v>
      </c>
      <c r="C1566" s="2" t="s">
        <v>3191</v>
      </c>
      <c r="D1566" s="2">
        <v>110000</v>
      </c>
      <c r="E1566" s="23" t="s">
        <v>490</v>
      </c>
      <c r="F1566" s="25">
        <v>610110</v>
      </c>
      <c r="G1566" s="32">
        <f>76000+2175</f>
        <v>78175</v>
      </c>
      <c r="H1566" s="32">
        <f>76000+2175</f>
        <v>78175</v>
      </c>
    </row>
    <row r="1567" spans="1:8" s="2" customFormat="1">
      <c r="A1567" s="5" t="s">
        <v>2316</v>
      </c>
      <c r="B1567" s="2" t="s">
        <v>3192</v>
      </c>
      <c r="C1567" s="2" t="s">
        <v>2170</v>
      </c>
      <c r="D1567" s="2">
        <v>110000</v>
      </c>
      <c r="E1567" s="23" t="s">
        <v>490</v>
      </c>
      <c r="F1567" s="25">
        <v>610210</v>
      </c>
      <c r="G1567" s="32">
        <f>45750+1300</f>
        <v>47050</v>
      </c>
      <c r="H1567" s="32">
        <f>45750+1300</f>
        <v>47050</v>
      </c>
    </row>
    <row r="1568" spans="1:8" s="2" customFormat="1">
      <c r="A1568" s="5" t="s">
        <v>2317</v>
      </c>
      <c r="B1568" s="2" t="s">
        <v>3193</v>
      </c>
      <c r="C1568" s="2" t="s">
        <v>2170</v>
      </c>
      <c r="D1568" s="2">
        <v>110000</v>
      </c>
      <c r="E1568" s="23" t="s">
        <v>490</v>
      </c>
      <c r="F1568" s="25">
        <v>610210</v>
      </c>
      <c r="G1568" s="32">
        <f>27800+2808</f>
        <v>30608</v>
      </c>
      <c r="H1568" s="32">
        <f>27800+2808</f>
        <v>30608</v>
      </c>
    </row>
    <row r="1569" spans="1:8" s="2" customFormat="1">
      <c r="A1569" s="5"/>
      <c r="E1569" s="20"/>
      <c r="G1569" s="32">
        <v>6661</v>
      </c>
      <c r="H1569" s="32"/>
    </row>
    <row r="1570" spans="1:8" s="2" customFormat="1">
      <c r="A1570" s="5"/>
      <c r="D1570" s="2">
        <v>162040</v>
      </c>
      <c r="E1570" s="20" t="s">
        <v>490</v>
      </c>
      <c r="F1570" s="2">
        <v>610210</v>
      </c>
      <c r="G1570" s="32">
        <v>13575</v>
      </c>
      <c r="H1570" s="32"/>
    </row>
    <row r="1571" spans="1:8" s="2" customFormat="1">
      <c r="A1571" s="5"/>
      <c r="E1571" s="5" t="s">
        <v>2880</v>
      </c>
      <c r="G1571" s="32">
        <f>SUM(G1568:G1570)</f>
        <v>50844</v>
      </c>
      <c r="H1571" s="32">
        <f>H1568+H1570</f>
        <v>30608</v>
      </c>
    </row>
    <row r="1572" spans="1:8" s="2" customFormat="1">
      <c r="A1572" s="5" t="s">
        <v>2318</v>
      </c>
      <c r="B1572" s="2" t="s">
        <v>274</v>
      </c>
      <c r="C1572" s="2" t="s">
        <v>2884</v>
      </c>
      <c r="D1572" s="2">
        <v>110000</v>
      </c>
      <c r="E1572" s="23" t="s">
        <v>490</v>
      </c>
      <c r="F1572" s="25">
        <v>610210</v>
      </c>
      <c r="G1572" s="32">
        <f>31100+900</f>
        <v>32000</v>
      </c>
      <c r="H1572" s="32">
        <f>31100+900</f>
        <v>32000</v>
      </c>
    </row>
    <row r="1573" spans="1:8" s="2" customFormat="1">
      <c r="A1573" s="5" t="s">
        <v>2319</v>
      </c>
      <c r="B1573" s="2" t="s">
        <v>275</v>
      </c>
      <c r="C1573" s="2" t="s">
        <v>1608</v>
      </c>
      <c r="D1573" s="2">
        <v>110000</v>
      </c>
      <c r="E1573" s="23" t="s">
        <v>490</v>
      </c>
      <c r="F1573" s="25">
        <v>610210</v>
      </c>
      <c r="G1573" s="32">
        <f>34500+1325</f>
        <v>35825</v>
      </c>
      <c r="H1573" s="32">
        <f>34500+1325</f>
        <v>35825</v>
      </c>
    </row>
    <row r="1574" spans="1:8" s="2" customFormat="1">
      <c r="A1574" s="5" t="s">
        <v>2320</v>
      </c>
      <c r="B1574" s="2" t="s">
        <v>276</v>
      </c>
      <c r="C1574" s="2" t="s">
        <v>1061</v>
      </c>
      <c r="D1574" s="2">
        <v>110000</v>
      </c>
      <c r="E1574" s="23" t="s">
        <v>490</v>
      </c>
      <c r="F1574" s="25">
        <v>610410</v>
      </c>
      <c r="G1574" s="32">
        <f>23713+664</f>
        <v>24377</v>
      </c>
      <c r="H1574" s="32">
        <f>23713+664</f>
        <v>24377</v>
      </c>
    </row>
    <row r="1575" spans="1:8">
      <c r="A1575" s="5" t="s">
        <v>2321</v>
      </c>
      <c r="B1575" s="2"/>
      <c r="C1575" s="2" t="s">
        <v>1023</v>
      </c>
      <c r="D1575" s="2">
        <v>110000</v>
      </c>
      <c r="E1575" s="23" t="s">
        <v>490</v>
      </c>
      <c r="F1575" s="25">
        <v>610410</v>
      </c>
      <c r="G1575" s="32">
        <f>16832+471</f>
        <v>17303</v>
      </c>
      <c r="H1575" s="32">
        <f>16832+471</f>
        <v>17303</v>
      </c>
    </row>
    <row r="1576" spans="1:8">
      <c r="A1576" s="5" t="s">
        <v>2322</v>
      </c>
      <c r="B1576" s="2" t="s">
        <v>2853</v>
      </c>
      <c r="C1576" s="2" t="s">
        <v>1456</v>
      </c>
      <c r="D1576" s="2"/>
      <c r="E1576" s="23"/>
      <c r="F1576" s="25"/>
      <c r="G1576" s="32">
        <v>12284</v>
      </c>
      <c r="H1576" s="32"/>
    </row>
    <row r="1577" spans="1:8" s="2" customFormat="1">
      <c r="A1577" s="5"/>
      <c r="C1577" s="2" t="s">
        <v>1611</v>
      </c>
      <c r="D1577" s="2">
        <v>110000</v>
      </c>
      <c r="E1577" s="23" t="s">
        <v>490</v>
      </c>
      <c r="F1577" s="25">
        <v>620000</v>
      </c>
      <c r="G1577" s="32"/>
      <c r="H1577" s="32"/>
    </row>
    <row r="1578" spans="1:8" s="2" customFormat="1">
      <c r="A1578" s="5"/>
      <c r="C1578" s="2" t="s">
        <v>2950</v>
      </c>
      <c r="D1578" s="2">
        <v>110000</v>
      </c>
      <c r="E1578" s="23" t="s">
        <v>490</v>
      </c>
      <c r="F1578" s="25">
        <v>610000</v>
      </c>
      <c r="G1578" s="36"/>
      <c r="H1578" s="36"/>
    </row>
    <row r="1579" spans="1:8" s="2" customFormat="1">
      <c r="A1579" s="5"/>
      <c r="C1579" s="2" t="s">
        <v>2951</v>
      </c>
      <c r="D1579" s="2">
        <v>110000</v>
      </c>
      <c r="E1579" s="23" t="s">
        <v>490</v>
      </c>
      <c r="F1579" s="25">
        <v>630000</v>
      </c>
      <c r="G1579" s="32">
        <f>(SUM(G1563:G1578)-G1565-G1571)*0.18</f>
        <v>79019.459999999992</v>
      </c>
      <c r="H1579" s="32">
        <f>(SUM(H1563:H1578)-H1565-H1571)*0.18</f>
        <v>71914.14</v>
      </c>
    </row>
    <row r="1580" spans="1:8" s="2" customFormat="1">
      <c r="A1580" s="5"/>
      <c r="C1580" s="8" t="s">
        <v>1129</v>
      </c>
      <c r="E1580" s="20"/>
      <c r="F1580" s="25"/>
      <c r="G1580" s="32">
        <f>SUM(G1563:G1579)-G1565-G1571</f>
        <v>518016.45999999996</v>
      </c>
      <c r="H1580" s="32">
        <f>SUM(H1563:H1579)-H1565-H1571</f>
        <v>471437.14</v>
      </c>
    </row>
    <row r="1581" spans="1:8" s="2" customFormat="1">
      <c r="A1581" s="5"/>
      <c r="C1581" s="2" t="s">
        <v>2234</v>
      </c>
      <c r="D1581" s="2">
        <v>110000</v>
      </c>
      <c r="E1581" s="23" t="s">
        <v>490</v>
      </c>
      <c r="F1581" s="25">
        <v>710000</v>
      </c>
      <c r="G1581" s="32">
        <f>24634+115.78-3998+4875</f>
        <v>25626.78</v>
      </c>
      <c r="H1581" s="32">
        <f>24634+115.78-3998+4875</f>
        <v>25626.78</v>
      </c>
    </row>
    <row r="1582" spans="1:8" s="2" customFormat="1">
      <c r="A1582" s="5"/>
      <c r="C1582" s="8" t="s">
        <v>2235</v>
      </c>
      <c r="E1582" s="20"/>
      <c r="F1582" s="25"/>
      <c r="G1582" s="32">
        <f>G1580+G1581</f>
        <v>543643.24</v>
      </c>
      <c r="H1582" s="32">
        <f>H1580+H1581</f>
        <v>497063.92000000004</v>
      </c>
    </row>
    <row r="1583" spans="1:8" s="2" customFormat="1">
      <c r="A1583" s="5"/>
      <c r="C1583" s="8"/>
      <c r="E1583" s="20"/>
      <c r="F1583" s="25"/>
      <c r="G1583" s="32"/>
      <c r="H1583" s="32"/>
    </row>
    <row r="1584" spans="1:8" s="2" customFormat="1">
      <c r="A1584" s="5" t="s">
        <v>3042</v>
      </c>
      <c r="B1584" s="2" t="s">
        <v>2493</v>
      </c>
      <c r="E1584" s="20"/>
      <c r="G1584" s="32"/>
      <c r="H1584" s="32"/>
    </row>
    <row r="1585" spans="1:8" s="2" customFormat="1">
      <c r="A1585" s="5"/>
      <c r="E1585" s="20"/>
      <c r="G1585" s="32"/>
      <c r="H1585" s="32"/>
    </row>
    <row r="1586" spans="1:8" s="2" customFormat="1">
      <c r="A1586" s="5" t="s">
        <v>1999</v>
      </c>
      <c r="B1586" s="2" t="s">
        <v>2494</v>
      </c>
      <c r="C1586" s="2" t="s">
        <v>2490</v>
      </c>
      <c r="D1586" s="2">
        <v>110000</v>
      </c>
      <c r="E1586" s="20" t="s">
        <v>3042</v>
      </c>
      <c r="F1586" s="2">
        <v>610110</v>
      </c>
      <c r="G1586" s="32">
        <f>81856+1704</f>
        <v>83560</v>
      </c>
      <c r="H1586" s="32">
        <f>81856+1704</f>
        <v>83560</v>
      </c>
    </row>
    <row r="1587" spans="1:8" s="2" customFormat="1">
      <c r="A1587" s="5" t="s">
        <v>2000</v>
      </c>
      <c r="B1587" s="2" t="s">
        <v>1528</v>
      </c>
      <c r="C1587" s="2" t="s">
        <v>2490</v>
      </c>
      <c r="D1587" s="2">
        <v>110000</v>
      </c>
      <c r="E1587" s="20" t="s">
        <v>3042</v>
      </c>
      <c r="F1587" s="2">
        <v>610110</v>
      </c>
      <c r="G1587" s="32">
        <f>81250+2640</f>
        <v>83890</v>
      </c>
      <c r="H1587" s="32">
        <f>81250+2640</f>
        <v>83890</v>
      </c>
    </row>
    <row r="1588" spans="1:8" s="2" customFormat="1">
      <c r="A1588" s="5" t="s">
        <v>2001</v>
      </c>
      <c r="B1588" s="2" t="s">
        <v>2788</v>
      </c>
      <c r="C1588" s="2" t="s">
        <v>544</v>
      </c>
      <c r="D1588" s="2">
        <v>110000</v>
      </c>
      <c r="E1588" s="20" t="s">
        <v>3042</v>
      </c>
      <c r="F1588" s="2">
        <v>610110</v>
      </c>
      <c r="G1588" s="32">
        <f>62850+1570</f>
        <v>64420</v>
      </c>
      <c r="H1588" s="32">
        <f>62850+1570</f>
        <v>64420</v>
      </c>
    </row>
    <row r="1589" spans="1:8" s="2" customFormat="1">
      <c r="A1589" s="5" t="s">
        <v>2002</v>
      </c>
      <c r="B1589" s="2" t="s">
        <v>767</v>
      </c>
      <c r="C1589" s="2" t="s">
        <v>544</v>
      </c>
      <c r="D1589" s="2">
        <v>110000</v>
      </c>
      <c r="E1589" s="20" t="s">
        <v>3042</v>
      </c>
      <c r="F1589" s="2">
        <v>610110</v>
      </c>
      <c r="G1589" s="32">
        <f>67200+1550</f>
        <v>68750</v>
      </c>
      <c r="H1589" s="32">
        <f>67200+1550</f>
        <v>68750</v>
      </c>
    </row>
    <row r="1590" spans="1:8" s="2" customFormat="1">
      <c r="A1590" s="5" t="s">
        <v>2003</v>
      </c>
      <c r="B1590" s="2" t="s">
        <v>2053</v>
      </c>
      <c r="C1590" s="2" t="s">
        <v>148</v>
      </c>
      <c r="D1590" s="2">
        <v>110000</v>
      </c>
      <c r="E1590" s="20" t="s">
        <v>3042</v>
      </c>
      <c r="F1590" s="2">
        <v>610110</v>
      </c>
      <c r="G1590" s="32">
        <f>65000+1850</f>
        <v>66850</v>
      </c>
      <c r="H1590" s="32">
        <f>65000+1850</f>
        <v>66850</v>
      </c>
    </row>
    <row r="1591" spans="1:8" s="2" customFormat="1">
      <c r="A1591" s="5" t="s">
        <v>2004</v>
      </c>
      <c r="B1591" s="2" t="s">
        <v>2105</v>
      </c>
      <c r="C1591" s="2" t="s">
        <v>2106</v>
      </c>
      <c r="D1591" s="2">
        <v>110000</v>
      </c>
      <c r="E1591" s="20" t="s">
        <v>3042</v>
      </c>
      <c r="F1591" s="2">
        <v>610110</v>
      </c>
      <c r="G1591" s="32">
        <f>37575+1150</f>
        <v>38725</v>
      </c>
      <c r="H1591" s="32">
        <f>37575+1150</f>
        <v>38725</v>
      </c>
    </row>
    <row r="1592" spans="1:8" s="2" customFormat="1">
      <c r="A1592" s="5" t="s">
        <v>2005</v>
      </c>
      <c r="B1592" s="2" t="s">
        <v>1530</v>
      </c>
      <c r="C1592" s="2" t="s">
        <v>2106</v>
      </c>
      <c r="D1592" s="2">
        <v>110000</v>
      </c>
      <c r="E1592" s="20" t="s">
        <v>3042</v>
      </c>
      <c r="F1592" s="2">
        <v>610110</v>
      </c>
      <c r="G1592" s="32">
        <f>36000+1050</f>
        <v>37050</v>
      </c>
      <c r="H1592" s="32">
        <f>36000+1050</f>
        <v>37050</v>
      </c>
    </row>
    <row r="1593" spans="1:8" s="2" customFormat="1">
      <c r="A1593" s="5" t="s">
        <v>2006</v>
      </c>
      <c r="B1593" s="2" t="s">
        <v>2497</v>
      </c>
      <c r="C1593" s="2" t="s">
        <v>1609</v>
      </c>
      <c r="D1593" s="2">
        <v>110000</v>
      </c>
      <c r="E1593" s="20" t="s">
        <v>3042</v>
      </c>
      <c r="F1593" s="2">
        <v>610410</v>
      </c>
      <c r="G1593" s="32">
        <f>18461+517</f>
        <v>18978</v>
      </c>
      <c r="H1593" s="32">
        <f>18461+517</f>
        <v>18978</v>
      </c>
    </row>
    <row r="1594" spans="1:8" s="2" customFormat="1">
      <c r="A1594" s="5"/>
      <c r="B1594" s="2" t="s">
        <v>1981</v>
      </c>
      <c r="C1594" s="2" t="s">
        <v>2106</v>
      </c>
      <c r="D1594" s="2">
        <v>110000</v>
      </c>
      <c r="E1594" s="20" t="s">
        <v>3042</v>
      </c>
      <c r="F1594" s="2">
        <v>610110</v>
      </c>
      <c r="G1594" s="32">
        <v>35000</v>
      </c>
      <c r="H1594" s="32">
        <v>35000</v>
      </c>
    </row>
    <row r="1595" spans="1:8" s="2" customFormat="1">
      <c r="A1595" s="5"/>
      <c r="C1595" s="2" t="s">
        <v>1611</v>
      </c>
      <c r="D1595" s="2">
        <v>110000</v>
      </c>
      <c r="E1595" s="20" t="s">
        <v>3042</v>
      </c>
      <c r="F1595" s="2">
        <v>620000</v>
      </c>
      <c r="G1595" s="32">
        <v>1175</v>
      </c>
      <c r="H1595" s="32">
        <v>1175</v>
      </c>
    </row>
    <row r="1596" spans="1:8" s="2" customFormat="1">
      <c r="A1596" s="5"/>
      <c r="C1596" s="2" t="s">
        <v>2950</v>
      </c>
      <c r="D1596" s="2">
        <v>110000</v>
      </c>
      <c r="E1596" s="20" t="s">
        <v>3042</v>
      </c>
      <c r="F1596" s="2">
        <v>610000</v>
      </c>
      <c r="G1596" s="36"/>
      <c r="H1596" s="36"/>
    </row>
    <row r="1597" spans="1:8" s="2" customFormat="1">
      <c r="A1597" s="5"/>
      <c r="C1597" s="2" t="s">
        <v>2951</v>
      </c>
      <c r="D1597" s="2">
        <v>110000</v>
      </c>
      <c r="E1597" s="20" t="s">
        <v>3042</v>
      </c>
      <c r="F1597" s="2">
        <v>630000</v>
      </c>
      <c r="G1597" s="32">
        <f>SUM(G1586:G1596)*0.2</f>
        <v>99679.6</v>
      </c>
      <c r="H1597" s="32">
        <f>SUM(H1586:H1596)*0.2</f>
        <v>99679.6</v>
      </c>
    </row>
    <row r="1598" spans="1:8" s="2" customFormat="1">
      <c r="A1598" s="5"/>
      <c r="C1598" s="8" t="s">
        <v>1129</v>
      </c>
      <c r="E1598" s="20"/>
      <c r="G1598" s="32">
        <f>SUM(G1586:G1597)</f>
        <v>598077.6</v>
      </c>
      <c r="H1598" s="32">
        <f>SUM(H1586:H1597)</f>
        <v>598077.6</v>
      </c>
    </row>
    <row r="1599" spans="1:8" s="2" customFormat="1">
      <c r="A1599" s="5"/>
      <c r="C1599" s="2" t="s">
        <v>2234</v>
      </c>
      <c r="D1599" s="2">
        <v>110000</v>
      </c>
      <c r="E1599" s="20" t="s">
        <v>3042</v>
      </c>
      <c r="F1599" s="2">
        <v>710000</v>
      </c>
      <c r="G1599" s="32">
        <v>12184</v>
      </c>
      <c r="H1599" s="32">
        <v>12184</v>
      </c>
    </row>
    <row r="1600" spans="1:8" s="2" customFormat="1">
      <c r="A1600" s="5"/>
      <c r="C1600" s="8" t="s">
        <v>2235</v>
      </c>
      <c r="E1600" s="20"/>
      <c r="G1600" s="32">
        <f>G1598+G1599</f>
        <v>610261.6</v>
      </c>
      <c r="H1600" s="32">
        <f>H1598+H1599</f>
        <v>610261.6</v>
      </c>
    </row>
    <row r="1601" spans="1:8" s="2" customFormat="1">
      <c r="A1601" s="5"/>
      <c r="E1601" s="20"/>
      <c r="G1601" s="32"/>
      <c r="H1601" s="32"/>
    </row>
    <row r="1602" spans="1:8" s="2" customFormat="1">
      <c r="A1602" s="5" t="s">
        <v>3046</v>
      </c>
      <c r="B1602" s="2" t="s">
        <v>2605</v>
      </c>
      <c r="E1602" s="20"/>
      <c r="G1602" s="32"/>
      <c r="H1602" s="32"/>
    </row>
    <row r="1603" spans="1:8" s="2" customFormat="1">
      <c r="A1603" s="5"/>
      <c r="E1603" s="20"/>
      <c r="G1603" s="32"/>
      <c r="H1603" s="32"/>
    </row>
    <row r="1604" spans="1:8" s="2" customFormat="1">
      <c r="A1604" s="5" t="s">
        <v>2037</v>
      </c>
      <c r="B1604" s="2" t="s">
        <v>2606</v>
      </c>
      <c r="C1604" s="2" t="s">
        <v>2884</v>
      </c>
      <c r="D1604" s="2">
        <v>110000</v>
      </c>
      <c r="E1604" s="20" t="s">
        <v>3046</v>
      </c>
      <c r="F1604" s="2">
        <v>610210</v>
      </c>
      <c r="G1604" s="32">
        <f>32860+900</f>
        <v>33760</v>
      </c>
      <c r="H1604" s="32">
        <f>32860+900</f>
        <v>33760</v>
      </c>
    </row>
    <row r="1605" spans="1:8" s="2" customFormat="1">
      <c r="A1605" s="5" t="s">
        <v>2038</v>
      </c>
      <c r="B1605" s="2" t="s">
        <v>155</v>
      </c>
      <c r="C1605" s="2" t="s">
        <v>2666</v>
      </c>
      <c r="D1605" s="2">
        <v>110000</v>
      </c>
      <c r="E1605" s="20" t="s">
        <v>3046</v>
      </c>
      <c r="F1605" s="2">
        <v>610410</v>
      </c>
      <c r="G1605" s="32">
        <f>11343+318</f>
        <v>11661</v>
      </c>
      <c r="H1605" s="32">
        <f>11343+332</f>
        <v>11675</v>
      </c>
    </row>
    <row r="1606" spans="1:8" s="2" customFormat="1">
      <c r="A1606" s="5"/>
      <c r="D1606" s="2">
        <v>110000</v>
      </c>
      <c r="E1606" s="20" t="s">
        <v>3047</v>
      </c>
      <c r="F1606" s="2">
        <v>610410</v>
      </c>
      <c r="G1606" s="32">
        <f>11343+317</f>
        <v>11660</v>
      </c>
      <c r="H1606" s="32"/>
    </row>
    <row r="1607" spans="1:8" s="2" customFormat="1">
      <c r="A1607" s="5"/>
      <c r="E1607" s="2" t="s">
        <v>2880</v>
      </c>
      <c r="G1607" s="32">
        <f>G1605+G1606</f>
        <v>23321</v>
      </c>
      <c r="H1607" s="32">
        <f>H1605+H1606</f>
        <v>11675</v>
      </c>
    </row>
    <row r="1608" spans="1:8" s="2" customFormat="1">
      <c r="A1608" s="5"/>
      <c r="C1608" s="2" t="s">
        <v>1611</v>
      </c>
      <c r="D1608" s="2">
        <v>110000</v>
      </c>
      <c r="E1608" s="20" t="s">
        <v>3046</v>
      </c>
      <c r="F1608" s="2">
        <v>620000</v>
      </c>
      <c r="G1608" s="32"/>
      <c r="H1608" s="32"/>
    </row>
    <row r="1609" spans="1:8" s="2" customFormat="1">
      <c r="A1609" s="5"/>
      <c r="C1609" s="2" t="s">
        <v>2950</v>
      </c>
      <c r="D1609" s="2">
        <v>110000</v>
      </c>
      <c r="E1609" s="20" t="s">
        <v>3046</v>
      </c>
      <c r="F1609" s="2">
        <v>610000</v>
      </c>
      <c r="G1609" s="32"/>
      <c r="H1609" s="32"/>
    </row>
    <row r="1610" spans="1:8" s="2" customFormat="1">
      <c r="A1610" s="5"/>
      <c r="C1610" s="2" t="s">
        <v>2951</v>
      </c>
      <c r="D1610" s="2">
        <v>110000</v>
      </c>
      <c r="E1610" s="20" t="s">
        <v>3046</v>
      </c>
      <c r="F1610" s="2">
        <v>630000</v>
      </c>
      <c r="G1610" s="32">
        <f>(SUM(G1604:G1609)-G1607)*0.19</f>
        <v>10845.39</v>
      </c>
      <c r="H1610" s="32">
        <f>(SUM(H1604:H1609)-H1607)*0.19</f>
        <v>8632.65</v>
      </c>
    </row>
    <row r="1611" spans="1:8" s="2" customFormat="1">
      <c r="A1611" s="5"/>
      <c r="C1611" s="8" t="s">
        <v>1129</v>
      </c>
      <c r="E1611" s="20"/>
      <c r="G1611" s="32">
        <f>SUM(G1604:G1610)-G1607</f>
        <v>67926.39</v>
      </c>
      <c r="H1611" s="32">
        <f>SUM(H1604:H1610)-H1607</f>
        <v>54067.649999999994</v>
      </c>
    </row>
    <row r="1612" spans="1:8" s="2" customFormat="1">
      <c r="A1612" s="5"/>
      <c r="C1612" s="2" t="s">
        <v>325</v>
      </c>
      <c r="D1612" s="2">
        <v>110000</v>
      </c>
      <c r="E1612" s="20" t="s">
        <v>3046</v>
      </c>
      <c r="F1612" s="2">
        <v>710000</v>
      </c>
      <c r="G1612" s="32">
        <f>56790-11343+8053-2269</f>
        <v>51231</v>
      </c>
      <c r="H1612" s="32">
        <f>56790-11343+8053-2269</f>
        <v>51231</v>
      </c>
    </row>
    <row r="1613" spans="1:8" s="2" customFormat="1">
      <c r="A1613" s="5"/>
      <c r="C1613" s="2" t="s">
        <v>326</v>
      </c>
      <c r="D1613" s="2">
        <v>110000</v>
      </c>
      <c r="E1613" s="20" t="s">
        <v>3046</v>
      </c>
      <c r="F1613" s="2">
        <v>710000</v>
      </c>
      <c r="G1613" s="32">
        <v>20000</v>
      </c>
      <c r="H1613" s="32">
        <v>20000</v>
      </c>
    </row>
    <row r="1614" spans="1:8" s="2" customFormat="1">
      <c r="A1614" s="5"/>
      <c r="C1614" s="8" t="s">
        <v>2235</v>
      </c>
      <c r="E1614" s="20"/>
      <c r="G1614" s="32">
        <f>SUM(G1611:G1613)</f>
        <v>139157.39000000001</v>
      </c>
      <c r="H1614" s="32">
        <f>SUM(H1611:H1613)</f>
        <v>125298.65</v>
      </c>
    </row>
    <row r="1615" spans="1:8" s="2" customFormat="1">
      <c r="A1615" s="5"/>
      <c r="E1615" s="20"/>
      <c r="G1615" s="32"/>
      <c r="H1615" s="32"/>
    </row>
    <row r="1616" spans="1:8" s="2" customFormat="1">
      <c r="A1616" s="5" t="s">
        <v>3043</v>
      </c>
      <c r="B1616" s="2" t="s">
        <v>943</v>
      </c>
      <c r="E1616" s="20"/>
      <c r="G1616" s="32"/>
      <c r="H1616" s="32"/>
    </row>
    <row r="1617" spans="1:8" s="2" customFormat="1">
      <c r="A1617" s="5"/>
      <c r="E1617" s="20"/>
      <c r="G1617" s="32"/>
      <c r="H1617" s="32"/>
    </row>
    <row r="1618" spans="1:8" s="2" customFormat="1">
      <c r="A1618" s="6" t="s">
        <v>2007</v>
      </c>
      <c r="B1618" s="2" t="s">
        <v>944</v>
      </c>
      <c r="C1618" s="2" t="s">
        <v>1029</v>
      </c>
      <c r="D1618" s="2">
        <v>110000</v>
      </c>
      <c r="E1618" s="20" t="s">
        <v>3043</v>
      </c>
      <c r="F1618" s="2">
        <v>610110</v>
      </c>
      <c r="G1618" s="32">
        <f>104706+2794</f>
        <v>107500</v>
      </c>
      <c r="H1618" s="32">
        <f>104706+2794</f>
        <v>107500</v>
      </c>
    </row>
    <row r="1619" spans="1:8" s="2" customFormat="1">
      <c r="A1619" s="5" t="s">
        <v>2008</v>
      </c>
      <c r="B1619" s="2" t="s">
        <v>142</v>
      </c>
      <c r="C1619" s="2" t="s">
        <v>2490</v>
      </c>
      <c r="D1619" s="2">
        <v>110000</v>
      </c>
      <c r="E1619" s="20" t="s">
        <v>3043</v>
      </c>
      <c r="F1619" s="2">
        <v>610110</v>
      </c>
      <c r="G1619" s="32">
        <v>75220</v>
      </c>
      <c r="H1619" s="32">
        <v>75220</v>
      </c>
    </row>
    <row r="1620" spans="1:8" s="2" customFormat="1">
      <c r="A1620" s="5" t="s">
        <v>2009</v>
      </c>
      <c r="B1620" s="2" t="s">
        <v>143</v>
      </c>
      <c r="C1620" s="2" t="s">
        <v>2490</v>
      </c>
      <c r="D1620" s="2">
        <v>110000</v>
      </c>
      <c r="E1620" s="20" t="s">
        <v>3043</v>
      </c>
      <c r="F1620" s="2">
        <v>610110</v>
      </c>
      <c r="G1620" s="32">
        <f>64500+1665</f>
        <v>66165</v>
      </c>
      <c r="H1620" s="32">
        <f>64500+1665</f>
        <v>66165</v>
      </c>
    </row>
    <row r="1621" spans="1:8" s="2" customFormat="1">
      <c r="A1621" s="5" t="s">
        <v>2010</v>
      </c>
      <c r="B1621" s="2" t="s">
        <v>144</v>
      </c>
      <c r="C1621" s="2" t="s">
        <v>2490</v>
      </c>
      <c r="D1621" s="2">
        <v>110000</v>
      </c>
      <c r="E1621" s="20" t="s">
        <v>3043</v>
      </c>
      <c r="F1621" s="2">
        <v>610110</v>
      </c>
      <c r="G1621" s="32">
        <f>75375+1875</f>
        <v>77250</v>
      </c>
      <c r="H1621" s="32">
        <f>75375+1875</f>
        <v>77250</v>
      </c>
    </row>
    <row r="1622" spans="1:8" s="2" customFormat="1">
      <c r="A1622" s="5" t="s">
        <v>2011</v>
      </c>
      <c r="B1622" s="2" t="s">
        <v>145</v>
      </c>
      <c r="C1622" s="2" t="s">
        <v>2490</v>
      </c>
      <c r="D1622" s="2">
        <v>110000</v>
      </c>
      <c r="E1622" s="20" t="s">
        <v>3043</v>
      </c>
      <c r="F1622" s="2">
        <v>610110</v>
      </c>
      <c r="G1622" s="32">
        <f>65775+1975</f>
        <v>67750</v>
      </c>
      <c r="H1622" s="32">
        <f>65775+1975</f>
        <v>67750</v>
      </c>
    </row>
    <row r="1623" spans="1:8" s="2" customFormat="1">
      <c r="A1623" s="5" t="s">
        <v>2012</v>
      </c>
      <c r="B1623" s="2" t="s">
        <v>146</v>
      </c>
      <c r="C1623" s="2" t="s">
        <v>2490</v>
      </c>
      <c r="D1623" s="2">
        <v>110000</v>
      </c>
      <c r="E1623" s="20" t="s">
        <v>3043</v>
      </c>
      <c r="F1623" s="2">
        <v>610110</v>
      </c>
      <c r="G1623" s="32">
        <f>77250+2350</f>
        <v>79600</v>
      </c>
      <c r="H1623" s="32">
        <f>77250+2350</f>
        <v>79600</v>
      </c>
    </row>
    <row r="1624" spans="1:8" s="2" customFormat="1">
      <c r="A1624" s="5" t="s">
        <v>2013</v>
      </c>
      <c r="B1624" s="2" t="s">
        <v>147</v>
      </c>
      <c r="C1624" s="2" t="s">
        <v>148</v>
      </c>
      <c r="D1624" s="2">
        <v>110000</v>
      </c>
      <c r="E1624" s="20" t="s">
        <v>3043</v>
      </c>
      <c r="F1624" s="2">
        <v>610110</v>
      </c>
      <c r="G1624" s="32">
        <f>55100+2935</f>
        <v>58035</v>
      </c>
      <c r="H1624" s="32">
        <f>55100+2935</f>
        <v>58035</v>
      </c>
    </row>
    <row r="1625" spans="1:8" s="2" customFormat="1">
      <c r="A1625" s="5" t="s">
        <v>2014</v>
      </c>
      <c r="B1625" s="2" t="s">
        <v>1156</v>
      </c>
      <c r="C1625" s="2" t="s">
        <v>148</v>
      </c>
      <c r="D1625" s="2">
        <v>110000</v>
      </c>
      <c r="E1625" s="20" t="s">
        <v>3043</v>
      </c>
      <c r="F1625" s="2">
        <v>610110</v>
      </c>
      <c r="G1625" s="32">
        <f>62100+1950</f>
        <v>64050</v>
      </c>
      <c r="H1625" s="32">
        <f>62100+1950</f>
        <v>64050</v>
      </c>
    </row>
    <row r="1626" spans="1:8" s="2" customFormat="1">
      <c r="A1626" s="5" t="s">
        <v>2015</v>
      </c>
      <c r="B1626" s="2" t="s">
        <v>1157</v>
      </c>
      <c r="C1626" s="2" t="s">
        <v>148</v>
      </c>
      <c r="D1626" s="2">
        <v>110000</v>
      </c>
      <c r="E1626" s="20" t="s">
        <v>3043</v>
      </c>
      <c r="F1626" s="2">
        <v>610110</v>
      </c>
      <c r="G1626" s="32">
        <f>63000+1800</f>
        <v>64800</v>
      </c>
      <c r="H1626" s="32">
        <f>63000+1800</f>
        <v>64800</v>
      </c>
    </row>
    <row r="1627" spans="1:8" s="2" customFormat="1">
      <c r="A1627" s="5" t="s">
        <v>2016</v>
      </c>
      <c r="B1627" s="2" t="s">
        <v>1158</v>
      </c>
      <c r="C1627" s="2" t="s">
        <v>2106</v>
      </c>
      <c r="D1627" s="2">
        <v>110000</v>
      </c>
      <c r="E1627" s="20" t="s">
        <v>3043</v>
      </c>
      <c r="F1627" s="2">
        <v>610110</v>
      </c>
      <c r="G1627" s="32">
        <f>35800+1000</f>
        <v>36800</v>
      </c>
      <c r="H1627" s="32">
        <f>35800+1000</f>
        <v>36800</v>
      </c>
    </row>
    <row r="1628" spans="1:8" s="2" customFormat="1">
      <c r="A1628" s="5" t="s">
        <v>2017</v>
      </c>
      <c r="B1628" s="2" t="s">
        <v>1159</v>
      </c>
      <c r="C1628" s="2" t="s">
        <v>1023</v>
      </c>
      <c r="D1628" s="2">
        <v>110000</v>
      </c>
      <c r="E1628" s="20" t="s">
        <v>3043</v>
      </c>
      <c r="F1628" s="2">
        <v>610410</v>
      </c>
      <c r="G1628" s="32">
        <f>16832+471</f>
        <v>17303</v>
      </c>
      <c r="H1628" s="32">
        <f>16832+471</f>
        <v>17303</v>
      </c>
    </row>
    <row r="1629" spans="1:8" s="2" customFormat="1">
      <c r="A1629" s="5"/>
      <c r="C1629" s="2" t="s">
        <v>1611</v>
      </c>
      <c r="D1629" s="2">
        <v>110000</v>
      </c>
      <c r="E1629" s="20" t="s">
        <v>3043</v>
      </c>
      <c r="F1629" s="2">
        <v>620000</v>
      </c>
      <c r="G1629" s="32"/>
      <c r="H1629" s="32"/>
    </row>
    <row r="1630" spans="1:8" s="2" customFormat="1">
      <c r="A1630" s="5"/>
      <c r="C1630" s="2" t="s">
        <v>1160</v>
      </c>
      <c r="D1630" s="2">
        <v>110000</v>
      </c>
      <c r="E1630" s="20" t="s">
        <v>3043</v>
      </c>
      <c r="F1630" s="2">
        <v>610000</v>
      </c>
      <c r="G1630" s="32">
        <v>9441</v>
      </c>
      <c r="H1630" s="32">
        <v>9441</v>
      </c>
    </row>
    <row r="1631" spans="1:8" s="2" customFormat="1">
      <c r="A1631" s="5"/>
      <c r="C1631" s="2" t="s">
        <v>2950</v>
      </c>
      <c r="D1631" s="2">
        <v>110000</v>
      </c>
      <c r="E1631" s="20" t="s">
        <v>3043</v>
      </c>
      <c r="F1631" s="2">
        <v>610110</v>
      </c>
      <c r="G1631" s="36"/>
      <c r="H1631" s="36"/>
    </row>
    <row r="1632" spans="1:8" s="2" customFormat="1">
      <c r="A1632" s="5"/>
      <c r="C1632" s="2" t="s">
        <v>2063</v>
      </c>
      <c r="D1632" s="2">
        <v>110000</v>
      </c>
      <c r="E1632" s="20" t="s">
        <v>3043</v>
      </c>
      <c r="F1632" s="2">
        <v>610110</v>
      </c>
      <c r="G1632" s="32">
        <v>0</v>
      </c>
      <c r="H1632" s="39">
        <v>0</v>
      </c>
    </row>
    <row r="1633" spans="1:8" s="2" customFormat="1">
      <c r="A1633" s="5"/>
      <c r="C1633" s="2" t="s">
        <v>2951</v>
      </c>
      <c r="D1633" s="2">
        <v>110000</v>
      </c>
      <c r="E1633" s="20" t="s">
        <v>3043</v>
      </c>
      <c r="F1633" s="2">
        <v>630000</v>
      </c>
      <c r="G1633" s="32">
        <f>(SUM(G1618:G1632))*0.2</f>
        <v>144782.80000000002</v>
      </c>
      <c r="H1633" s="32">
        <f>(SUM(H1618:H1632))*0.2</f>
        <v>144782.80000000002</v>
      </c>
    </row>
    <row r="1634" spans="1:8" s="2" customFormat="1">
      <c r="A1634" s="5"/>
      <c r="C1634" s="8" t="s">
        <v>1129</v>
      </c>
      <c r="E1634" s="20"/>
      <c r="G1634" s="32">
        <f>SUM(G1618:G1633)</f>
        <v>868696.8</v>
      </c>
      <c r="H1634" s="32">
        <f>SUM(H1618:H1633)</f>
        <v>868696.8</v>
      </c>
    </row>
    <row r="1635" spans="1:8" s="2" customFormat="1">
      <c r="A1635" s="5"/>
      <c r="C1635" s="2" t="s">
        <v>2234</v>
      </c>
      <c r="D1635" s="2">
        <v>110000</v>
      </c>
      <c r="E1635" s="20" t="s">
        <v>3043</v>
      </c>
      <c r="F1635" s="2">
        <v>710000</v>
      </c>
      <c r="G1635" s="32">
        <v>15028</v>
      </c>
      <c r="H1635" s="32">
        <v>15028</v>
      </c>
    </row>
    <row r="1636" spans="1:8" s="2" customFormat="1">
      <c r="A1636" s="5"/>
      <c r="C1636" s="8" t="s">
        <v>2235</v>
      </c>
      <c r="E1636" s="20"/>
      <c r="G1636" s="32">
        <f>G1634+G1635</f>
        <v>883724.80000000005</v>
      </c>
      <c r="H1636" s="32">
        <f>H1634+H1635</f>
        <v>883724.80000000005</v>
      </c>
    </row>
    <row r="1637" spans="1:8" s="2" customFormat="1">
      <c r="A1637" s="5"/>
      <c r="E1637" s="20"/>
      <c r="G1637" s="32"/>
      <c r="H1637" s="32"/>
    </row>
    <row r="1638" spans="1:8" s="2" customFormat="1">
      <c r="A1638" s="6" t="s">
        <v>2554</v>
      </c>
      <c r="B1638" s="2" t="s">
        <v>994</v>
      </c>
      <c r="D1638" s="26"/>
      <c r="G1638" s="32"/>
      <c r="H1638" s="32"/>
    </row>
    <row r="1639" spans="1:8" s="2" customFormat="1">
      <c r="D1639" s="26"/>
      <c r="G1639" s="32"/>
      <c r="H1639" s="32"/>
    </row>
    <row r="1640" spans="1:8" s="2" customFormat="1">
      <c r="A1640" s="5" t="s">
        <v>1868</v>
      </c>
      <c r="B1640" s="2" t="s">
        <v>995</v>
      </c>
      <c r="C1640" s="2" t="s">
        <v>2207</v>
      </c>
      <c r="D1640" s="26">
        <v>110000</v>
      </c>
      <c r="E1640" s="2">
        <v>620510</v>
      </c>
      <c r="F1640" s="2">
        <v>610210</v>
      </c>
      <c r="G1640" s="32">
        <f>96958+3142</f>
        <v>100100</v>
      </c>
      <c r="H1640" s="32">
        <f>96958+3142</f>
        <v>100100</v>
      </c>
    </row>
    <row r="1641" spans="1:8" s="2" customFormat="1">
      <c r="A1641" s="5" t="s">
        <v>1869</v>
      </c>
      <c r="B1641" s="2" t="s">
        <v>2927</v>
      </c>
      <c r="C1641" s="2" t="s">
        <v>1016</v>
      </c>
      <c r="D1641" s="26">
        <v>110000</v>
      </c>
      <c r="E1641" s="2">
        <v>620510</v>
      </c>
      <c r="F1641" s="2">
        <v>610210</v>
      </c>
      <c r="G1641" s="32">
        <f>39958+1159</f>
        <v>41117</v>
      </c>
      <c r="H1641" s="32">
        <f>39958+1159</f>
        <v>41117</v>
      </c>
    </row>
    <row r="1642" spans="1:8" s="2" customFormat="1">
      <c r="A1642" s="5" t="s">
        <v>1870</v>
      </c>
      <c r="C1642" s="2" t="s">
        <v>896</v>
      </c>
      <c r="D1642" s="26">
        <v>110000</v>
      </c>
      <c r="E1642" s="2">
        <v>620510</v>
      </c>
      <c r="F1642" s="2">
        <v>610210</v>
      </c>
      <c r="G1642" s="32">
        <v>10586</v>
      </c>
      <c r="H1642" s="32">
        <v>10586</v>
      </c>
    </row>
    <row r="1643" spans="1:8" s="2" customFormat="1">
      <c r="A1643" s="5"/>
      <c r="D1643" s="26">
        <v>162080</v>
      </c>
      <c r="E1643" s="2">
        <v>620510</v>
      </c>
      <c r="F1643" s="2">
        <v>610210</v>
      </c>
      <c r="G1643" s="32">
        <v>17414</v>
      </c>
      <c r="H1643" s="32"/>
    </row>
    <row r="1644" spans="1:8" s="2" customFormat="1">
      <c r="A1644" s="5"/>
      <c r="D1644" s="26"/>
      <c r="E1644" s="2" t="s">
        <v>2880</v>
      </c>
      <c r="G1644" s="32">
        <f>G1642+G1643</f>
        <v>28000</v>
      </c>
      <c r="H1644" s="32">
        <f>H1642+H1643</f>
        <v>10586</v>
      </c>
    </row>
    <row r="1645" spans="1:8" s="2" customFormat="1">
      <c r="A1645" s="5" t="s">
        <v>1871</v>
      </c>
      <c r="B1645" s="2" t="s">
        <v>879</v>
      </c>
      <c r="C1645" s="2" t="s">
        <v>1151</v>
      </c>
      <c r="D1645" s="26">
        <v>110000</v>
      </c>
      <c r="E1645" s="2">
        <v>620510</v>
      </c>
      <c r="F1645" s="2">
        <v>610210</v>
      </c>
      <c r="G1645" s="32">
        <f>28485+855</f>
        <v>29340</v>
      </c>
      <c r="H1645" s="32">
        <f>28485+855</f>
        <v>29340</v>
      </c>
    </row>
    <row r="1646" spans="1:8" s="2" customFormat="1">
      <c r="A1646" s="5" t="s">
        <v>1872</v>
      </c>
      <c r="B1646" s="2" t="s">
        <v>2928</v>
      </c>
      <c r="C1646" s="2" t="s">
        <v>1608</v>
      </c>
      <c r="D1646" s="26">
        <v>110000</v>
      </c>
      <c r="E1646" s="2">
        <v>620510</v>
      </c>
      <c r="F1646" s="2">
        <v>610210</v>
      </c>
      <c r="G1646" s="32">
        <f>12740+573</f>
        <v>13313</v>
      </c>
      <c r="H1646" s="32">
        <f>12740+573</f>
        <v>13313</v>
      </c>
    </row>
    <row r="1647" spans="1:8" s="2" customFormat="1">
      <c r="A1647" s="5" t="s">
        <v>1873</v>
      </c>
      <c r="B1647" s="2" t="s">
        <v>601</v>
      </c>
      <c r="C1647" s="2" t="s">
        <v>1061</v>
      </c>
      <c r="D1647" s="26">
        <v>110000</v>
      </c>
      <c r="E1647" s="2">
        <v>620510</v>
      </c>
      <c r="F1647" s="2">
        <v>610410</v>
      </c>
      <c r="G1647" s="32">
        <f>22693+635</f>
        <v>23328</v>
      </c>
      <c r="H1647" s="32">
        <f>22693+635</f>
        <v>23328</v>
      </c>
    </row>
    <row r="1648" spans="1:8" s="2" customFormat="1">
      <c r="A1648" s="5" t="s">
        <v>1874</v>
      </c>
      <c r="B1648" s="2" t="s">
        <v>602</v>
      </c>
      <c r="C1648" s="2" t="s">
        <v>46</v>
      </c>
      <c r="D1648" s="26">
        <v>110000</v>
      </c>
      <c r="E1648" s="2">
        <v>620510</v>
      </c>
      <c r="F1648" s="2">
        <v>610410</v>
      </c>
      <c r="G1648" s="32">
        <f>20057+562</f>
        <v>20619</v>
      </c>
      <c r="H1648" s="32">
        <f>20057+562</f>
        <v>20619</v>
      </c>
    </row>
    <row r="1649" spans="1:8" s="2" customFormat="1">
      <c r="A1649" s="5" t="s">
        <v>603</v>
      </c>
      <c r="C1649" s="2" t="s">
        <v>2950</v>
      </c>
      <c r="D1649" s="26">
        <v>110000</v>
      </c>
      <c r="E1649" s="2">
        <v>620510</v>
      </c>
      <c r="F1649" s="2">
        <v>610000</v>
      </c>
      <c r="G1649" s="36"/>
      <c r="H1649" s="36"/>
    </row>
    <row r="1650" spans="1:8" s="2" customFormat="1">
      <c r="A1650" s="5" t="s">
        <v>604</v>
      </c>
      <c r="C1650" s="2" t="s">
        <v>1611</v>
      </c>
      <c r="D1650" s="26">
        <v>110000</v>
      </c>
      <c r="E1650" s="2">
        <v>620510</v>
      </c>
      <c r="F1650" s="2">
        <v>620000</v>
      </c>
      <c r="G1650" s="32">
        <v>19797</v>
      </c>
      <c r="H1650" s="32">
        <f>G1650</f>
        <v>19797</v>
      </c>
    </row>
    <row r="1651" spans="1:8" s="2" customFormat="1">
      <c r="A1651" s="5" t="s">
        <v>605</v>
      </c>
      <c r="C1651" s="2" t="s">
        <v>2063</v>
      </c>
      <c r="D1651" s="26">
        <v>110000</v>
      </c>
      <c r="E1651" s="2">
        <v>620510</v>
      </c>
      <c r="F1651" s="2">
        <v>610110</v>
      </c>
      <c r="G1651" s="32">
        <v>0</v>
      </c>
      <c r="H1651" s="32">
        <v>0</v>
      </c>
    </row>
    <row r="1652" spans="1:8" s="2" customFormat="1">
      <c r="C1652" s="2" t="s">
        <v>2951</v>
      </c>
      <c r="D1652" s="26">
        <v>110000</v>
      </c>
      <c r="E1652" s="2">
        <v>620510</v>
      </c>
      <c r="F1652" s="2">
        <v>630000</v>
      </c>
      <c r="G1652" s="32">
        <f>(SUM(G1640:G1651)-G1644)*0.21</f>
        <v>57878.939999999995</v>
      </c>
      <c r="H1652" s="32">
        <f>(SUM(H1640:H1651)-H1644)*0.21</f>
        <v>54222</v>
      </c>
    </row>
    <row r="1653" spans="1:8" s="2" customFormat="1">
      <c r="C1653" s="8" t="s">
        <v>1129</v>
      </c>
      <c r="D1653" s="26"/>
      <c r="G1653" s="32">
        <f>SUM(G1640:G1652)-G1644</f>
        <v>333492.94</v>
      </c>
      <c r="H1653" s="32">
        <f>SUM(H1640:H1652)-H1644</f>
        <v>312422</v>
      </c>
    </row>
    <row r="1654" spans="1:8" s="2" customFormat="1">
      <c r="C1654" s="2" t="s">
        <v>2234</v>
      </c>
      <c r="D1654" s="26">
        <v>110000</v>
      </c>
      <c r="E1654" s="2">
        <v>620510</v>
      </c>
      <c r="F1654" s="2">
        <v>710000</v>
      </c>
      <c r="G1654" s="32">
        <v>61009</v>
      </c>
      <c r="H1654" s="32">
        <f>G1654</f>
        <v>61009</v>
      </c>
    </row>
    <row r="1655" spans="1:8" s="2" customFormat="1">
      <c r="C1655" s="8" t="s">
        <v>2235</v>
      </c>
      <c r="D1655" s="26"/>
      <c r="G1655" s="32">
        <f>G1653+G1654</f>
        <v>394501.94</v>
      </c>
      <c r="H1655" s="32">
        <f>H1653+H1654</f>
        <v>373431</v>
      </c>
    </row>
    <row r="1656" spans="1:8" s="2" customFormat="1">
      <c r="D1656" s="26"/>
      <c r="G1656" s="32"/>
      <c r="H1656" s="32"/>
    </row>
    <row r="1657" spans="1:8" s="2" customFormat="1">
      <c r="A1657" s="6" t="s">
        <v>2559</v>
      </c>
      <c r="B1657" s="2" t="s">
        <v>1463</v>
      </c>
      <c r="D1657" s="26"/>
      <c r="G1657" s="32"/>
      <c r="H1657" s="32"/>
    </row>
    <row r="1658" spans="1:8" s="2" customFormat="1">
      <c r="D1658" s="26"/>
      <c r="G1658" s="32"/>
      <c r="H1658" s="32"/>
    </row>
    <row r="1659" spans="1:8" s="2" customFormat="1">
      <c r="A1659" s="15" t="s">
        <v>1920</v>
      </c>
      <c r="B1659" s="2" t="s">
        <v>1465</v>
      </c>
      <c r="C1659" s="2" t="s">
        <v>1024</v>
      </c>
      <c r="D1659" s="26">
        <v>110000</v>
      </c>
      <c r="E1659" s="2">
        <v>620511</v>
      </c>
      <c r="F1659" s="2">
        <v>610210</v>
      </c>
      <c r="G1659" s="32">
        <f>62500+1062</f>
        <v>63562</v>
      </c>
      <c r="H1659" s="32">
        <f>62500+1062</f>
        <v>63562</v>
      </c>
    </row>
    <row r="1660" spans="1:8" s="2" customFormat="1">
      <c r="A1660" s="5" t="s">
        <v>1921</v>
      </c>
      <c r="B1660" s="2" t="s">
        <v>1464</v>
      </c>
      <c r="C1660" s="2" t="s">
        <v>161</v>
      </c>
      <c r="D1660" s="26">
        <v>110000</v>
      </c>
      <c r="E1660" s="2">
        <v>620511</v>
      </c>
      <c r="F1660" s="2">
        <v>610210</v>
      </c>
      <c r="G1660" s="32">
        <f>50727+1369</f>
        <v>52096</v>
      </c>
      <c r="H1660" s="32">
        <f>50727+1369</f>
        <v>52096</v>
      </c>
    </row>
    <row r="1661" spans="1:8" s="2" customFormat="1">
      <c r="A1661" s="5" t="s">
        <v>1922</v>
      </c>
      <c r="C1661" s="2" t="s">
        <v>161</v>
      </c>
      <c r="D1661" s="26">
        <v>110000</v>
      </c>
      <c r="E1661" s="2">
        <v>620511</v>
      </c>
      <c r="F1661" s="2">
        <v>610210</v>
      </c>
      <c r="G1661" s="32">
        <v>55785</v>
      </c>
      <c r="H1661" s="32">
        <v>55785</v>
      </c>
    </row>
    <row r="1662" spans="1:8" s="2" customFormat="1">
      <c r="A1662" s="5" t="s">
        <v>1923</v>
      </c>
      <c r="B1662" s="2" t="s">
        <v>131</v>
      </c>
      <c r="C1662" s="2" t="s">
        <v>1151</v>
      </c>
      <c r="D1662" s="26">
        <v>110000</v>
      </c>
      <c r="E1662" s="2">
        <v>620511</v>
      </c>
      <c r="F1662" s="2">
        <v>610110</v>
      </c>
      <c r="G1662" s="32">
        <f>40000+1400</f>
        <v>41400</v>
      </c>
      <c r="H1662" s="32">
        <f>40000+1400</f>
        <v>41400</v>
      </c>
    </row>
    <row r="1663" spans="1:8" s="2" customFormat="1">
      <c r="A1663" s="5" t="s">
        <v>1924</v>
      </c>
      <c r="C1663" s="2" t="s">
        <v>1151</v>
      </c>
      <c r="D1663" s="26"/>
      <c r="G1663" s="32">
        <v>25000</v>
      </c>
      <c r="H1663" s="32">
        <v>0</v>
      </c>
    </row>
    <row r="1664" spans="1:8" s="2" customFormat="1">
      <c r="A1664" s="5" t="s">
        <v>932</v>
      </c>
      <c r="B1664" s="2" t="s">
        <v>1591</v>
      </c>
      <c r="C1664" s="2" t="s">
        <v>90</v>
      </c>
      <c r="D1664" s="26">
        <v>110000</v>
      </c>
      <c r="E1664" s="2">
        <v>620511</v>
      </c>
      <c r="F1664" s="2">
        <v>610210</v>
      </c>
      <c r="G1664" s="32">
        <f>4560+219</f>
        <v>4779</v>
      </c>
      <c r="H1664" s="32">
        <f>4560+219</f>
        <v>4779</v>
      </c>
    </row>
    <row r="1665" spans="1:8" s="2" customFormat="1">
      <c r="A1665" s="5"/>
      <c r="D1665" s="26">
        <v>162115</v>
      </c>
      <c r="E1665" s="2">
        <v>620511</v>
      </c>
      <c r="F1665" s="2">
        <v>610210</v>
      </c>
      <c r="G1665" s="32">
        <v>4065</v>
      </c>
      <c r="H1665" s="32"/>
    </row>
    <row r="1666" spans="1:8" s="2" customFormat="1">
      <c r="D1666" s="26">
        <v>281109</v>
      </c>
      <c r="E1666" s="2">
        <v>620511</v>
      </c>
      <c r="F1666" s="2">
        <v>610110</v>
      </c>
      <c r="G1666" s="32">
        <v>34500</v>
      </c>
      <c r="H1666" s="32">
        <v>0</v>
      </c>
    </row>
    <row r="1667" spans="1:8" s="2" customFormat="1">
      <c r="D1667" s="26"/>
      <c r="E1667" s="2" t="s">
        <v>2880</v>
      </c>
      <c r="G1667" s="32">
        <f>G1664+G1666+G1665</f>
        <v>43344</v>
      </c>
      <c r="H1667" s="32">
        <f>H1664+H1666+H1665</f>
        <v>4779</v>
      </c>
    </row>
    <row r="1668" spans="1:8" s="2" customFormat="1">
      <c r="A1668" s="5" t="s">
        <v>1925</v>
      </c>
      <c r="B1668" s="2" t="s">
        <v>91</v>
      </c>
      <c r="C1668" s="2" t="s">
        <v>1151</v>
      </c>
      <c r="D1668" s="26">
        <v>110000</v>
      </c>
      <c r="E1668" s="2">
        <v>620511</v>
      </c>
      <c r="F1668" s="2">
        <v>610210</v>
      </c>
      <c r="G1668" s="32">
        <f>40032+1481</f>
        <v>41513</v>
      </c>
      <c r="H1668" s="32">
        <f>40032+1481</f>
        <v>41513</v>
      </c>
    </row>
    <row r="1669" spans="1:8" s="2" customFormat="1">
      <c r="A1669" s="5" t="s">
        <v>1926</v>
      </c>
      <c r="B1669" s="2" t="s">
        <v>92</v>
      </c>
      <c r="C1669" s="2" t="s">
        <v>2210</v>
      </c>
      <c r="D1669" s="26">
        <v>110000</v>
      </c>
      <c r="E1669" s="2">
        <v>620511</v>
      </c>
      <c r="F1669" s="2">
        <v>610410</v>
      </c>
      <c r="G1669" s="32">
        <f>15799+442</f>
        <v>16241</v>
      </c>
      <c r="H1669" s="32">
        <f>15799+442</f>
        <v>16241</v>
      </c>
    </row>
    <row r="1670" spans="1:8" s="2" customFormat="1">
      <c r="A1670" s="5" t="s">
        <v>933</v>
      </c>
      <c r="B1670" s="2" t="s">
        <v>132</v>
      </c>
      <c r="C1670" s="2" t="s">
        <v>1151</v>
      </c>
      <c r="D1670" s="26">
        <v>281109</v>
      </c>
      <c r="E1670" s="2">
        <v>620511</v>
      </c>
      <c r="F1670" s="2">
        <v>610110</v>
      </c>
      <c r="G1670" s="32">
        <v>35000</v>
      </c>
      <c r="H1670" s="32"/>
    </row>
    <row r="1671" spans="1:8" s="2" customFormat="1">
      <c r="A1671" s="5" t="s">
        <v>934</v>
      </c>
      <c r="B1671" s="2" t="s">
        <v>133</v>
      </c>
      <c r="C1671" s="2" t="s">
        <v>1151</v>
      </c>
      <c r="D1671" s="26">
        <v>281109</v>
      </c>
      <c r="E1671" s="2">
        <v>620511</v>
      </c>
      <c r="F1671" s="2">
        <v>610210</v>
      </c>
      <c r="G1671" s="32">
        <v>30000</v>
      </c>
      <c r="H1671" s="32"/>
    </row>
    <row r="1672" spans="1:8" s="2" customFormat="1">
      <c r="A1672" s="5" t="s">
        <v>93</v>
      </c>
      <c r="C1672" s="2" t="s">
        <v>1611</v>
      </c>
      <c r="D1672" s="26">
        <v>110000</v>
      </c>
      <c r="E1672" s="2">
        <v>620511</v>
      </c>
      <c r="F1672" s="2">
        <v>620000</v>
      </c>
      <c r="G1672" s="32"/>
      <c r="H1672" s="32"/>
    </row>
    <row r="1673" spans="1:8" s="2" customFormat="1">
      <c r="A1673" s="5" t="s">
        <v>94</v>
      </c>
      <c r="C1673" s="2" t="s">
        <v>1563</v>
      </c>
      <c r="D1673" s="26">
        <v>110000</v>
      </c>
      <c r="E1673" s="2">
        <v>620511</v>
      </c>
      <c r="F1673" s="2">
        <v>610300</v>
      </c>
      <c r="G1673" s="32"/>
      <c r="H1673" s="32"/>
    </row>
    <row r="1674" spans="1:8" s="2" customFormat="1">
      <c r="A1674" s="5" t="s">
        <v>95</v>
      </c>
      <c r="C1674" s="2" t="s">
        <v>2950</v>
      </c>
      <c r="D1674" s="26">
        <v>110000</v>
      </c>
      <c r="E1674" s="2">
        <v>620511</v>
      </c>
      <c r="F1674" s="2">
        <v>610000</v>
      </c>
      <c r="G1674" s="32"/>
      <c r="H1674" s="32"/>
    </row>
    <row r="1675" spans="1:8" s="2" customFormat="1">
      <c r="C1675" s="2" t="s">
        <v>2951</v>
      </c>
      <c r="D1675" s="26">
        <v>110000</v>
      </c>
      <c r="E1675" s="2">
        <v>620511</v>
      </c>
      <c r="F1675" s="2">
        <v>630000</v>
      </c>
      <c r="G1675" s="32">
        <f>(SUM(G1659:G1674)-G1667)*0.22+342</f>
        <v>89209.02</v>
      </c>
      <c r="H1675" s="32">
        <f>(SUM(H1659:H1674)-H1667)*0.22+341</f>
        <v>60923.72</v>
      </c>
    </row>
    <row r="1676" spans="1:8" s="2" customFormat="1">
      <c r="C1676" s="8" t="s">
        <v>1129</v>
      </c>
      <c r="D1676" s="26"/>
      <c r="G1676" s="32">
        <f>SUM(G1659:G1675)-G1667</f>
        <v>493150.02</v>
      </c>
      <c r="H1676" s="32">
        <f>SUM(H1659:H1675)-H1667</f>
        <v>336299.72</v>
      </c>
    </row>
    <row r="1677" spans="1:8" s="2" customFormat="1">
      <c r="C1677" s="2" t="s">
        <v>2234</v>
      </c>
      <c r="D1677" s="26">
        <v>110000</v>
      </c>
      <c r="E1677" s="2">
        <v>620511</v>
      </c>
      <c r="F1677" s="2">
        <v>710000</v>
      </c>
      <c r="G1677" s="32">
        <v>37488</v>
      </c>
      <c r="H1677" s="32">
        <v>37488</v>
      </c>
    </row>
    <row r="1678" spans="1:8" s="2" customFormat="1">
      <c r="C1678" s="8" t="s">
        <v>2235</v>
      </c>
      <c r="D1678" s="26"/>
      <c r="G1678" s="32">
        <f>G1676+G1677</f>
        <v>530638.02</v>
      </c>
      <c r="H1678" s="32">
        <f>H1676+H1677</f>
        <v>373787.72</v>
      </c>
    </row>
    <row r="1679" spans="1:8" s="2" customFormat="1">
      <c r="D1679" s="26"/>
      <c r="G1679" s="32"/>
      <c r="H1679" s="32"/>
    </row>
    <row r="1680" spans="1:8" s="2" customFormat="1">
      <c r="A1680" s="6" t="s">
        <v>2556</v>
      </c>
      <c r="B1680" s="2" t="s">
        <v>887</v>
      </c>
      <c r="D1680" s="26"/>
      <c r="G1680" s="32"/>
      <c r="H1680" s="32"/>
    </row>
    <row r="1681" spans="1:8" s="2" customFormat="1">
      <c r="A1681" s="15"/>
      <c r="D1681" s="26"/>
      <c r="G1681" s="32"/>
      <c r="H1681" s="32"/>
    </row>
    <row r="1682" spans="1:8" s="2" customFormat="1">
      <c r="A1682" s="15"/>
      <c r="C1682" s="2" t="s">
        <v>888</v>
      </c>
      <c r="D1682" s="26">
        <v>110000</v>
      </c>
      <c r="E1682" s="2">
        <v>620512</v>
      </c>
      <c r="F1682" s="2">
        <v>710000</v>
      </c>
      <c r="G1682" s="32">
        <v>29599</v>
      </c>
      <c r="H1682" s="32">
        <f>G1682</f>
        <v>29599</v>
      </c>
    </row>
    <row r="1683" spans="1:8" s="2" customFormat="1">
      <c r="A1683" s="15"/>
      <c r="C1683" s="8" t="s">
        <v>2235</v>
      </c>
      <c r="D1683" s="26"/>
      <c r="G1683" s="32">
        <f>G1682</f>
        <v>29599</v>
      </c>
      <c r="H1683" s="32">
        <f>H1682</f>
        <v>29599</v>
      </c>
    </row>
    <row r="1684" spans="1:8" s="2" customFormat="1">
      <c r="A1684" s="15"/>
      <c r="D1684" s="26"/>
      <c r="G1684" s="32"/>
      <c r="H1684" s="32"/>
    </row>
    <row r="1685" spans="1:8" s="2" customFormat="1">
      <c r="A1685" s="15">
        <v>620513</v>
      </c>
      <c r="B1685" s="2" t="s">
        <v>1459</v>
      </c>
      <c r="D1685" s="26"/>
      <c r="G1685" s="32"/>
      <c r="H1685" s="32"/>
    </row>
    <row r="1686" spans="1:8" s="2" customFormat="1">
      <c r="D1686" s="26"/>
      <c r="G1686" s="32"/>
      <c r="H1686" s="32"/>
    </row>
    <row r="1687" spans="1:8" s="2" customFormat="1">
      <c r="A1687" s="15" t="s">
        <v>1917</v>
      </c>
      <c r="B1687" s="2" t="s">
        <v>1460</v>
      </c>
      <c r="C1687" s="2" t="s">
        <v>1024</v>
      </c>
      <c r="D1687" s="26">
        <v>162090</v>
      </c>
      <c r="E1687" s="2">
        <v>620513</v>
      </c>
      <c r="F1687" s="2">
        <v>610210</v>
      </c>
      <c r="G1687" s="32">
        <v>56351</v>
      </c>
      <c r="H1687" s="32">
        <v>0</v>
      </c>
    </row>
    <row r="1688" spans="1:8" s="2" customFormat="1">
      <c r="A1688" s="15" t="s">
        <v>1918</v>
      </c>
      <c r="B1688" s="2" t="s">
        <v>1461</v>
      </c>
      <c r="C1688" s="2" t="s">
        <v>1151</v>
      </c>
      <c r="D1688" s="26">
        <v>162090</v>
      </c>
      <c r="E1688" s="2">
        <v>620513</v>
      </c>
      <c r="F1688" s="2">
        <v>610210</v>
      </c>
      <c r="G1688" s="32">
        <v>39883</v>
      </c>
      <c r="H1688" s="32">
        <v>0</v>
      </c>
    </row>
    <row r="1689" spans="1:8" s="2" customFormat="1">
      <c r="A1689" s="15" t="s">
        <v>1919</v>
      </c>
      <c r="B1689" s="2" t="s">
        <v>1462</v>
      </c>
      <c r="C1689" s="2" t="s">
        <v>1609</v>
      </c>
      <c r="D1689" s="26">
        <v>110000</v>
      </c>
      <c r="E1689" s="2">
        <v>620513</v>
      </c>
      <c r="F1689" s="2">
        <v>610410</v>
      </c>
      <c r="G1689" s="32">
        <f>18832+527</f>
        <v>19359</v>
      </c>
      <c r="H1689" s="32">
        <f>18832+527</f>
        <v>19359</v>
      </c>
    </row>
    <row r="1690" spans="1:8" s="2" customFormat="1">
      <c r="A1690" s="15"/>
      <c r="C1690" s="2" t="s">
        <v>2951</v>
      </c>
      <c r="D1690" s="26">
        <v>110000</v>
      </c>
      <c r="E1690" s="2">
        <v>620513</v>
      </c>
      <c r="F1690" s="2">
        <v>630000</v>
      </c>
      <c r="G1690" s="32">
        <f>SUM(G1687:G1689)*0.21</f>
        <v>24274.53</v>
      </c>
      <c r="H1690" s="32">
        <f>SUM(H1687:H1689)*0.21</f>
        <v>4065.39</v>
      </c>
    </row>
    <row r="1691" spans="1:8" s="2" customFormat="1">
      <c r="C1691" s="8" t="s">
        <v>1129</v>
      </c>
      <c r="D1691" s="26"/>
      <c r="G1691" s="32">
        <f>SUM(G1687:G1690)</f>
        <v>139867.53</v>
      </c>
      <c r="H1691" s="32">
        <f>SUM(H1687:H1690)</f>
        <v>23424.39</v>
      </c>
    </row>
    <row r="1692" spans="1:8" s="2" customFormat="1">
      <c r="C1692" s="2" t="s">
        <v>2234</v>
      </c>
      <c r="D1692" s="26">
        <v>110000</v>
      </c>
      <c r="E1692" s="2">
        <v>620513</v>
      </c>
      <c r="F1692" s="2">
        <v>710000</v>
      </c>
      <c r="G1692" s="32">
        <v>28203</v>
      </c>
      <c r="H1692" s="32">
        <f>+H1693-H1691</f>
        <v>26575.61</v>
      </c>
    </row>
    <row r="1693" spans="1:8" s="2" customFormat="1">
      <c r="C1693" s="8" t="s">
        <v>2235</v>
      </c>
      <c r="D1693" s="26"/>
      <c r="G1693" s="32">
        <f>G1691+G1692</f>
        <v>168070.53</v>
      </c>
      <c r="H1693" s="32">
        <v>50000</v>
      </c>
    </row>
    <row r="1694" spans="1:8" s="2" customFormat="1">
      <c r="D1694" s="26"/>
      <c r="G1694" s="32"/>
      <c r="H1694" s="32"/>
    </row>
    <row r="1695" spans="1:8" s="2" customFormat="1">
      <c r="A1695" s="6" t="s">
        <v>2555</v>
      </c>
      <c r="B1695" s="2" t="s">
        <v>283</v>
      </c>
      <c r="D1695" s="26"/>
      <c r="G1695" s="32"/>
      <c r="H1695" s="32"/>
    </row>
    <row r="1696" spans="1:8" s="2" customFormat="1">
      <c r="D1696" s="26"/>
      <c r="G1696" s="32"/>
      <c r="H1696" s="32"/>
    </row>
    <row r="1697" spans="1:8" s="2" customFormat="1">
      <c r="A1697" s="5" t="s">
        <v>1875</v>
      </c>
      <c r="B1697" s="2" t="s">
        <v>284</v>
      </c>
      <c r="C1697" s="2" t="s">
        <v>1024</v>
      </c>
      <c r="D1697" s="26">
        <v>110000</v>
      </c>
      <c r="E1697" s="2">
        <v>620514</v>
      </c>
      <c r="F1697" s="2">
        <v>610210</v>
      </c>
      <c r="G1697" s="32">
        <f>69049+2486</f>
        <v>71535</v>
      </c>
      <c r="H1697" s="32">
        <f>69049+2486</f>
        <v>71535</v>
      </c>
    </row>
    <row r="1698" spans="1:8" s="2" customFormat="1">
      <c r="A1698" s="5" t="s">
        <v>1876</v>
      </c>
      <c r="B1698" s="2" t="s">
        <v>285</v>
      </c>
      <c r="C1698" s="2" t="s">
        <v>1024</v>
      </c>
      <c r="D1698" s="26">
        <v>110000</v>
      </c>
      <c r="E1698" s="2">
        <v>620514</v>
      </c>
      <c r="F1698" s="2">
        <v>610210</v>
      </c>
      <c r="G1698" s="32">
        <f>57770+1617</f>
        <v>59387</v>
      </c>
      <c r="H1698" s="32">
        <f>57770+1617</f>
        <v>59387</v>
      </c>
    </row>
    <row r="1699" spans="1:8" s="2" customFormat="1">
      <c r="A1699" s="5" t="s">
        <v>1877</v>
      </c>
      <c r="B1699" s="2" t="s">
        <v>529</v>
      </c>
      <c r="C1699" s="2" t="s">
        <v>161</v>
      </c>
      <c r="D1699" s="26">
        <v>110000</v>
      </c>
      <c r="E1699" s="2">
        <v>620514</v>
      </c>
      <c r="F1699" s="2">
        <v>610210</v>
      </c>
      <c r="G1699" s="32">
        <f>42500+1063</f>
        <v>43563</v>
      </c>
      <c r="H1699" s="32">
        <f>42500+1063</f>
        <v>43563</v>
      </c>
    </row>
    <row r="1700" spans="1:8" s="2" customFormat="1">
      <c r="A1700" s="5" t="s">
        <v>1878</v>
      </c>
      <c r="B1700" s="2" t="s">
        <v>530</v>
      </c>
      <c r="C1700" s="2" t="s">
        <v>161</v>
      </c>
      <c r="D1700" s="26">
        <v>110000</v>
      </c>
      <c r="E1700" s="2">
        <v>620514</v>
      </c>
      <c r="F1700" s="2">
        <v>610210</v>
      </c>
      <c r="G1700" s="32">
        <f>38810+1048</f>
        <v>39858</v>
      </c>
      <c r="H1700" s="32">
        <f>38810+1048</f>
        <v>39858</v>
      </c>
    </row>
    <row r="1701" spans="1:8" s="2" customFormat="1">
      <c r="A1701" s="5" t="s">
        <v>1879</v>
      </c>
      <c r="B1701" s="2" t="s">
        <v>286</v>
      </c>
      <c r="C1701" s="2" t="s">
        <v>1016</v>
      </c>
      <c r="D1701" s="26">
        <v>110000</v>
      </c>
      <c r="E1701" s="2">
        <v>620514</v>
      </c>
      <c r="F1701" s="2">
        <v>610210</v>
      </c>
      <c r="G1701" s="32">
        <f>37281+1025</f>
        <v>38306</v>
      </c>
      <c r="H1701" s="32">
        <f>37281+1025</f>
        <v>38306</v>
      </c>
    </row>
    <row r="1702" spans="1:8" s="2" customFormat="1">
      <c r="A1702" s="5" t="s">
        <v>1880</v>
      </c>
      <c r="B1702" s="2" t="s">
        <v>1615</v>
      </c>
      <c r="C1702" s="2" t="s">
        <v>1016</v>
      </c>
      <c r="D1702" s="26">
        <v>110000</v>
      </c>
      <c r="E1702" s="2">
        <v>620514</v>
      </c>
      <c r="F1702" s="2">
        <v>610210</v>
      </c>
      <c r="G1702" s="32">
        <f>38236+956</f>
        <v>39192</v>
      </c>
      <c r="H1702" s="32">
        <f>38236+956</f>
        <v>39192</v>
      </c>
    </row>
    <row r="1703" spans="1:8" s="2" customFormat="1">
      <c r="A1703" s="5" t="s">
        <v>1881</v>
      </c>
      <c r="B1703" s="2" t="s">
        <v>1616</v>
      </c>
      <c r="C1703" s="2" t="s">
        <v>1016</v>
      </c>
      <c r="D1703" s="26">
        <v>110000</v>
      </c>
      <c r="E1703" s="2">
        <v>620514</v>
      </c>
      <c r="F1703" s="2">
        <v>610210</v>
      </c>
      <c r="G1703" s="32">
        <f>20829+573</f>
        <v>21402</v>
      </c>
      <c r="H1703" s="32">
        <f>20829+573</f>
        <v>21402</v>
      </c>
    </row>
    <row r="1704" spans="1:8" s="2" customFormat="1">
      <c r="A1704" s="5"/>
      <c r="D1704" s="26">
        <v>162085</v>
      </c>
      <c r="E1704" s="2">
        <v>620514</v>
      </c>
      <c r="F1704" s="2">
        <v>610210</v>
      </c>
      <c r="G1704" s="32">
        <v>11316</v>
      </c>
      <c r="H1704" s="32"/>
    </row>
    <row r="1705" spans="1:8" s="2" customFormat="1">
      <c r="A1705" s="5"/>
      <c r="D1705" s="26"/>
      <c r="E1705" s="2" t="s">
        <v>2880</v>
      </c>
      <c r="G1705" s="32">
        <f>G1703+G1704</f>
        <v>32718</v>
      </c>
      <c r="H1705" s="32">
        <f>H1703+H1704</f>
        <v>21402</v>
      </c>
    </row>
    <row r="1706" spans="1:8" s="2" customFormat="1">
      <c r="A1706" s="5" t="s">
        <v>1882</v>
      </c>
      <c r="B1706" s="2" t="s">
        <v>1617</v>
      </c>
      <c r="C1706" s="2" t="s">
        <v>1016</v>
      </c>
      <c r="D1706" s="26">
        <v>110000</v>
      </c>
      <c r="E1706" s="2">
        <v>620514</v>
      </c>
      <c r="F1706" s="2">
        <v>610210</v>
      </c>
      <c r="G1706" s="32">
        <f>39487+1303</f>
        <v>40790</v>
      </c>
      <c r="H1706" s="32">
        <f>39487+1303</f>
        <v>40790</v>
      </c>
    </row>
    <row r="1707" spans="1:8" s="2" customFormat="1">
      <c r="A1707" s="5" t="s">
        <v>1883</v>
      </c>
      <c r="B1707" s="2" t="s">
        <v>1618</v>
      </c>
      <c r="C1707" s="2" t="s">
        <v>1016</v>
      </c>
      <c r="D1707" s="26">
        <v>110000</v>
      </c>
      <c r="E1707" s="2">
        <v>620514</v>
      </c>
      <c r="F1707" s="2">
        <v>610210</v>
      </c>
      <c r="G1707" s="32">
        <f>40275+1329</f>
        <v>41604</v>
      </c>
      <c r="H1707" s="32">
        <f>40275+1329</f>
        <v>41604</v>
      </c>
    </row>
    <row r="1708" spans="1:8" s="2" customFormat="1">
      <c r="A1708" s="15" t="s">
        <v>925</v>
      </c>
      <c r="B1708" s="2" t="s">
        <v>1619</v>
      </c>
      <c r="C1708" s="2" t="s">
        <v>1016</v>
      </c>
      <c r="D1708" s="26">
        <v>110000</v>
      </c>
      <c r="E1708" s="2">
        <v>620514</v>
      </c>
      <c r="F1708" s="2">
        <v>610210</v>
      </c>
      <c r="G1708" s="32">
        <f>19635+687</f>
        <v>20322</v>
      </c>
      <c r="H1708" s="32">
        <f>19635+687</f>
        <v>20322</v>
      </c>
    </row>
    <row r="1709" spans="1:8" s="2" customFormat="1">
      <c r="D1709" s="26"/>
      <c r="G1709" s="32">
        <v>10374</v>
      </c>
      <c r="H1709" s="32"/>
    </row>
    <row r="1710" spans="1:8" s="2" customFormat="1">
      <c r="D1710" s="26"/>
      <c r="E1710" s="2" t="s">
        <v>2880</v>
      </c>
      <c r="G1710" s="32">
        <f>G1708+G1709</f>
        <v>30696</v>
      </c>
      <c r="H1710" s="32">
        <f>SUM(H1708:H1709)</f>
        <v>20322</v>
      </c>
    </row>
    <row r="1711" spans="1:8" s="2" customFormat="1">
      <c r="A1711" s="5" t="s">
        <v>1884</v>
      </c>
      <c r="B1711" s="2" t="s">
        <v>1620</v>
      </c>
      <c r="C1711" s="2" t="s">
        <v>1016</v>
      </c>
      <c r="D1711" s="26">
        <v>110000</v>
      </c>
      <c r="E1711" s="2">
        <v>620514</v>
      </c>
      <c r="F1711" s="2">
        <v>610210</v>
      </c>
      <c r="G1711" s="32">
        <f>27551+551</f>
        <v>28102</v>
      </c>
      <c r="H1711" s="32">
        <f>27551+551</f>
        <v>28102</v>
      </c>
    </row>
    <row r="1712" spans="1:8" s="2" customFormat="1">
      <c r="A1712" s="5"/>
      <c r="D1712" s="26"/>
      <c r="G1712" s="32">
        <v>22032</v>
      </c>
      <c r="H1712" s="32"/>
    </row>
    <row r="1713" spans="1:8" s="2" customFormat="1">
      <c r="A1713" s="5"/>
      <c r="D1713" s="26"/>
      <c r="E1713" s="2" t="s">
        <v>2880</v>
      </c>
      <c r="G1713" s="32">
        <f>SUM(G1711:G1712)</f>
        <v>50134</v>
      </c>
      <c r="H1713" s="32">
        <f>SUM(H1711:H1712)</f>
        <v>28102</v>
      </c>
    </row>
    <row r="1714" spans="1:8" s="2" customFormat="1">
      <c r="A1714" s="5" t="s">
        <v>1885</v>
      </c>
      <c r="B1714" s="2" t="s">
        <v>878</v>
      </c>
      <c r="C1714" s="2" t="s">
        <v>1151</v>
      </c>
      <c r="D1714" s="26">
        <v>110000</v>
      </c>
      <c r="E1714" s="2">
        <v>620514</v>
      </c>
      <c r="F1714" s="2">
        <v>610210</v>
      </c>
      <c r="G1714" s="32">
        <f>26832+738</f>
        <v>27570</v>
      </c>
      <c r="H1714" s="32">
        <f>26832+738</f>
        <v>27570</v>
      </c>
    </row>
    <row r="1715" spans="1:8" s="2" customFormat="1">
      <c r="A1715" s="5" t="s">
        <v>1886</v>
      </c>
      <c r="B1715" s="2" t="s">
        <v>124</v>
      </c>
      <c r="C1715" s="2" t="s">
        <v>1151</v>
      </c>
      <c r="D1715" s="26">
        <v>110000</v>
      </c>
      <c r="E1715" s="2">
        <v>620514</v>
      </c>
      <c r="F1715" s="2">
        <v>610210</v>
      </c>
      <c r="G1715" s="32">
        <f>15722+503</f>
        <v>16225</v>
      </c>
      <c r="H1715" s="32">
        <f>15722+503</f>
        <v>16225</v>
      </c>
    </row>
    <row r="1716" spans="1:8" s="2" customFormat="1">
      <c r="A1716" s="5"/>
      <c r="D1716" s="26">
        <v>162100</v>
      </c>
      <c r="E1716" s="2">
        <v>620514</v>
      </c>
      <c r="F1716" s="2">
        <v>610210</v>
      </c>
      <c r="G1716" s="32">
        <v>9278</v>
      </c>
      <c r="H1716" s="32"/>
    </row>
    <row r="1717" spans="1:8" s="2" customFormat="1">
      <c r="A1717" s="5"/>
      <c r="D1717" s="26"/>
      <c r="E1717" s="2" t="s">
        <v>2880</v>
      </c>
      <c r="G1717" s="32">
        <f>SUM(G1715:G1716)</f>
        <v>25503</v>
      </c>
      <c r="H1717" s="32">
        <f>SUM(H1715:H1716)</f>
        <v>16225</v>
      </c>
    </row>
    <row r="1718" spans="1:8" s="2" customFormat="1">
      <c r="A1718" s="5"/>
      <c r="D1718" s="26"/>
      <c r="G1718" s="32"/>
      <c r="H1718" s="32"/>
    </row>
    <row r="1719" spans="1:8" s="2" customFormat="1">
      <c r="A1719" s="6" t="s">
        <v>2555</v>
      </c>
      <c r="B1719" s="2" t="s">
        <v>283</v>
      </c>
      <c r="D1719" s="26"/>
      <c r="G1719" s="32"/>
      <c r="H1719" s="32"/>
    </row>
    <row r="1720" spans="1:8" s="2" customFormat="1">
      <c r="A1720" s="5"/>
      <c r="D1720" s="26"/>
      <c r="G1720" s="32"/>
      <c r="H1720" s="32"/>
    </row>
    <row r="1721" spans="1:8" s="2" customFormat="1">
      <c r="A1721" s="5" t="s">
        <v>926</v>
      </c>
      <c r="B1721" s="2" t="s">
        <v>125</v>
      </c>
      <c r="C1721" s="2" t="s">
        <v>1151</v>
      </c>
      <c r="D1721" s="26">
        <v>279066</v>
      </c>
      <c r="E1721" s="2">
        <v>620514</v>
      </c>
      <c r="F1721" s="2">
        <v>610110</v>
      </c>
      <c r="G1721" s="32">
        <v>23500</v>
      </c>
      <c r="H1721" s="32"/>
    </row>
    <row r="1722" spans="1:8" s="2" customFormat="1">
      <c r="A1722" s="5" t="s">
        <v>927</v>
      </c>
      <c r="B1722" s="2" t="s">
        <v>2792</v>
      </c>
      <c r="C1722" s="2" t="s">
        <v>1151</v>
      </c>
      <c r="D1722" s="26"/>
      <c r="G1722" s="32">
        <v>26000</v>
      </c>
      <c r="H1722" s="32"/>
    </row>
    <row r="1723" spans="1:8" s="2" customFormat="1">
      <c r="A1723" s="5" t="s">
        <v>1887</v>
      </c>
      <c r="B1723" s="2" t="s">
        <v>880</v>
      </c>
      <c r="C1723" s="2" t="s">
        <v>2170</v>
      </c>
      <c r="D1723" s="26"/>
      <c r="G1723" s="32">
        <v>25480</v>
      </c>
      <c r="H1723" s="32"/>
    </row>
    <row r="1724" spans="1:8" s="2" customFormat="1">
      <c r="A1724" s="5" t="s">
        <v>1888</v>
      </c>
      <c r="B1724" s="2" t="s">
        <v>881</v>
      </c>
      <c r="C1724" s="2" t="s">
        <v>1613</v>
      </c>
      <c r="D1724" s="26">
        <v>110000</v>
      </c>
      <c r="E1724" s="2">
        <v>620514</v>
      </c>
      <c r="F1724" s="2">
        <v>610410</v>
      </c>
      <c r="G1724" s="32">
        <v>22189</v>
      </c>
      <c r="H1724" s="32">
        <v>22189</v>
      </c>
    </row>
    <row r="1725" spans="1:8" s="2" customFormat="1">
      <c r="A1725" s="5" t="s">
        <v>882</v>
      </c>
      <c r="C1725" s="2" t="s">
        <v>1611</v>
      </c>
      <c r="D1725" s="26">
        <v>110000</v>
      </c>
      <c r="E1725" s="2">
        <v>620514</v>
      </c>
      <c r="F1725" s="2">
        <v>620000</v>
      </c>
      <c r="G1725" s="32">
        <v>4740</v>
      </c>
      <c r="H1725" s="32">
        <f>G1725</f>
        <v>4740</v>
      </c>
    </row>
    <row r="1726" spans="1:8" s="2" customFormat="1">
      <c r="A1726" s="5" t="s">
        <v>883</v>
      </c>
      <c r="C1726" s="2" t="s">
        <v>2950</v>
      </c>
      <c r="D1726" s="26">
        <v>110000</v>
      </c>
      <c r="E1726" s="2">
        <v>620514</v>
      </c>
      <c r="F1726" s="2">
        <v>610000</v>
      </c>
      <c r="G1726" s="32"/>
      <c r="H1726" s="32"/>
    </row>
    <row r="1727" spans="1:8" s="2" customFormat="1">
      <c r="C1727" s="2" t="s">
        <v>2951</v>
      </c>
      <c r="D1727" s="26">
        <v>110000</v>
      </c>
      <c r="E1727" s="2">
        <v>620514</v>
      </c>
      <c r="F1727" s="2">
        <v>630000</v>
      </c>
      <c r="G1727" s="32">
        <f>(SUM(G1697:G1726)-G1705-G1710-G1713-G1717)*0.21-1537</f>
        <v>133443.65</v>
      </c>
      <c r="H1727" s="32">
        <f>(SUM(H1697:H1726)-H1705-H1710-H1713-H1717)*0.21-1537</f>
        <v>106567.84999999999</v>
      </c>
    </row>
    <row r="1728" spans="1:8" s="2" customFormat="1">
      <c r="C1728" s="8" t="s">
        <v>1129</v>
      </c>
      <c r="D1728" s="26"/>
      <c r="G1728" s="32">
        <f>SUM(G1697:G1727)-G1705-G1710-G1713-G1717</f>
        <v>776208.65</v>
      </c>
      <c r="H1728" s="32">
        <f>SUM(H1697:H1727)-H1705-H1710-H1713-H1717</f>
        <v>621352.85</v>
      </c>
    </row>
    <row r="1729" spans="1:8" s="2" customFormat="1">
      <c r="C1729" s="2" t="s">
        <v>2234</v>
      </c>
      <c r="D1729" s="26">
        <v>110000</v>
      </c>
      <c r="E1729" s="2">
        <v>620514</v>
      </c>
      <c r="F1729" s="2">
        <v>710000</v>
      </c>
      <c r="G1729" s="32">
        <v>54960</v>
      </c>
      <c r="H1729" s="32">
        <f>G1729</f>
        <v>54960</v>
      </c>
    </row>
    <row r="1730" spans="1:8" s="2" customFormat="1">
      <c r="C1730" s="8" t="s">
        <v>2235</v>
      </c>
      <c r="D1730" s="26"/>
      <c r="G1730" s="32">
        <f>G1728+G1729</f>
        <v>831168.65</v>
      </c>
      <c r="H1730" s="32">
        <f>H1728+H1729</f>
        <v>676312.85</v>
      </c>
    </row>
    <row r="1731" spans="1:8" s="2" customFormat="1">
      <c r="D1731" s="26"/>
      <c r="G1731" s="32"/>
      <c r="H1731" s="32"/>
    </row>
    <row r="1732" spans="1:8" s="2" customFormat="1">
      <c r="A1732" s="6" t="s">
        <v>2557</v>
      </c>
      <c r="B1732" s="2" t="s">
        <v>889</v>
      </c>
      <c r="D1732" s="26"/>
      <c r="G1732" s="32"/>
      <c r="H1732" s="32"/>
    </row>
    <row r="1733" spans="1:8" s="2" customFormat="1">
      <c r="D1733" s="26"/>
      <c r="G1733" s="32"/>
      <c r="H1733" s="32"/>
    </row>
    <row r="1734" spans="1:8" s="2" customFormat="1">
      <c r="A1734" s="5" t="s">
        <v>1889</v>
      </c>
      <c r="B1734" s="2" t="s">
        <v>890</v>
      </c>
      <c r="C1734" s="2" t="s">
        <v>1024</v>
      </c>
      <c r="D1734" s="26">
        <v>110000</v>
      </c>
      <c r="E1734" s="2">
        <v>620515</v>
      </c>
      <c r="F1734" s="2">
        <v>610210</v>
      </c>
      <c r="G1734" s="32">
        <f>56150+2526</f>
        <v>58676</v>
      </c>
      <c r="H1734" s="32">
        <f>56150+2526</f>
        <v>58676</v>
      </c>
    </row>
    <row r="1735" spans="1:8" s="2" customFormat="1">
      <c r="A1735" s="5" t="s">
        <v>1890</v>
      </c>
      <c r="B1735" s="2" t="s">
        <v>891</v>
      </c>
      <c r="C1735" s="2" t="s">
        <v>1016</v>
      </c>
      <c r="D1735" s="26">
        <v>110000</v>
      </c>
      <c r="E1735" s="2">
        <v>620515</v>
      </c>
      <c r="F1735" s="2">
        <v>610210</v>
      </c>
      <c r="G1735" s="32">
        <f>42579+1214</f>
        <v>43793</v>
      </c>
      <c r="H1735" s="32">
        <f>42579+1214</f>
        <v>43793</v>
      </c>
    </row>
    <row r="1736" spans="1:8" s="2" customFormat="1">
      <c r="A1736" s="5" t="s">
        <v>1891</v>
      </c>
      <c r="B1736" s="2" t="s">
        <v>892</v>
      </c>
      <c r="C1736" s="2" t="s">
        <v>1151</v>
      </c>
      <c r="D1736" s="26">
        <v>110000</v>
      </c>
      <c r="E1736" s="2">
        <v>620515</v>
      </c>
      <c r="F1736" s="2">
        <v>610210</v>
      </c>
      <c r="G1736" s="32">
        <f>33207+995</f>
        <v>34202</v>
      </c>
      <c r="H1736" s="32">
        <f>33207+995</f>
        <v>34202</v>
      </c>
    </row>
    <row r="1737" spans="1:8" s="2" customFormat="1">
      <c r="A1737" s="5" t="s">
        <v>1892</v>
      </c>
      <c r="B1737" s="2" t="s">
        <v>893</v>
      </c>
      <c r="C1737" s="2" t="s">
        <v>1151</v>
      </c>
      <c r="D1737" s="26">
        <v>110000</v>
      </c>
      <c r="E1737" s="2">
        <v>620515</v>
      </c>
      <c r="F1737" s="2">
        <v>610210</v>
      </c>
      <c r="G1737" s="32">
        <f>26631+932</f>
        <v>27563</v>
      </c>
      <c r="H1737" s="32">
        <f>26631+932</f>
        <v>27563</v>
      </c>
    </row>
    <row r="1738" spans="1:8" s="2" customFormat="1">
      <c r="A1738" s="5" t="s">
        <v>1893</v>
      </c>
      <c r="B1738" s="2" t="s">
        <v>894</v>
      </c>
      <c r="C1738" s="2" t="s">
        <v>1016</v>
      </c>
      <c r="D1738" s="26"/>
      <c r="G1738" s="32">
        <v>33670</v>
      </c>
      <c r="H1738" s="32"/>
    </row>
    <row r="1739" spans="1:8" s="2" customFormat="1">
      <c r="A1739" s="5" t="s">
        <v>1894</v>
      </c>
      <c r="B1739" s="2" t="s">
        <v>895</v>
      </c>
      <c r="C1739" s="2" t="s">
        <v>1151</v>
      </c>
      <c r="D1739" s="26"/>
      <c r="G1739" s="32">
        <v>21100</v>
      </c>
      <c r="H1739" s="32"/>
    </row>
    <row r="1740" spans="1:8" s="2" customFormat="1">
      <c r="A1740" s="5"/>
      <c r="D1740" s="26"/>
      <c r="G1740" s="32">
        <v>4220</v>
      </c>
      <c r="H1740" s="32"/>
    </row>
    <row r="1741" spans="1:8" s="2" customFormat="1">
      <c r="A1741" s="5"/>
      <c r="D1741" s="26"/>
      <c r="E1741" s="2" t="s">
        <v>2880</v>
      </c>
      <c r="G1741" s="32">
        <f>SUM(G1739:G1740)</f>
        <v>25320</v>
      </c>
      <c r="H1741" s="32"/>
    </row>
    <row r="1742" spans="1:8" s="2" customFormat="1">
      <c r="A1742" s="5" t="s">
        <v>929</v>
      </c>
      <c r="B1742" s="2" t="s">
        <v>129</v>
      </c>
      <c r="C1742" s="2" t="s">
        <v>1608</v>
      </c>
      <c r="D1742" s="26"/>
      <c r="G1742" s="32">
        <v>16000</v>
      </c>
      <c r="H1742" s="32"/>
    </row>
    <row r="1743" spans="1:8" s="2" customFormat="1">
      <c r="A1743" s="5" t="s">
        <v>1895</v>
      </c>
      <c r="C1743" s="2" t="s">
        <v>896</v>
      </c>
      <c r="D1743" s="26">
        <v>162105</v>
      </c>
      <c r="E1743" s="2">
        <v>620515</v>
      </c>
      <c r="F1743" s="2">
        <v>610210</v>
      </c>
      <c r="G1743" s="32">
        <v>25000</v>
      </c>
      <c r="H1743" s="32"/>
    </row>
    <row r="1744" spans="1:8" s="2" customFormat="1">
      <c r="A1744" s="5" t="s">
        <v>1896</v>
      </c>
      <c r="B1744" s="2" t="s">
        <v>897</v>
      </c>
      <c r="C1744" s="2" t="s">
        <v>1609</v>
      </c>
      <c r="D1744" s="26">
        <v>110000</v>
      </c>
      <c r="E1744" s="2">
        <v>620515</v>
      </c>
      <c r="F1744" s="2">
        <v>610410</v>
      </c>
      <c r="G1744" s="32">
        <f>18008+504</f>
        <v>18512</v>
      </c>
      <c r="H1744" s="32">
        <f>18008+504</f>
        <v>18512</v>
      </c>
    </row>
    <row r="1745" spans="1:8" s="2" customFormat="1">
      <c r="A1745" s="5" t="s">
        <v>1897</v>
      </c>
      <c r="B1745" s="2" t="s">
        <v>130</v>
      </c>
      <c r="C1745" s="2" t="s">
        <v>1016</v>
      </c>
      <c r="D1745" s="26"/>
      <c r="G1745" s="32">
        <v>32500</v>
      </c>
      <c r="H1745" s="32"/>
    </row>
    <row r="1746" spans="1:8" s="2" customFormat="1">
      <c r="A1746" s="5" t="s">
        <v>898</v>
      </c>
      <c r="C1746" s="2" t="s">
        <v>1611</v>
      </c>
      <c r="D1746" s="26">
        <v>110000</v>
      </c>
      <c r="E1746" s="2">
        <v>620515</v>
      </c>
      <c r="F1746" s="2">
        <v>620000</v>
      </c>
      <c r="G1746" s="32">
        <v>7293</v>
      </c>
      <c r="H1746" s="32">
        <f>G1746</f>
        <v>7293</v>
      </c>
    </row>
    <row r="1747" spans="1:8" s="2" customFormat="1">
      <c r="A1747" s="5" t="s">
        <v>558</v>
      </c>
      <c r="C1747" s="2" t="s">
        <v>2950</v>
      </c>
      <c r="D1747" s="26">
        <v>110000</v>
      </c>
      <c r="E1747" s="2">
        <v>620515</v>
      </c>
      <c r="F1747" s="2">
        <v>610000</v>
      </c>
      <c r="G1747" s="32"/>
      <c r="H1747" s="32"/>
    </row>
    <row r="1748" spans="1:8" s="2" customFormat="1">
      <c r="C1748" s="2" t="s">
        <v>2951</v>
      </c>
      <c r="D1748" s="26">
        <v>110000</v>
      </c>
      <c r="E1748" s="2">
        <v>620515</v>
      </c>
      <c r="F1748" s="2">
        <v>630000</v>
      </c>
      <c r="G1748" s="32">
        <f>(SUM(G1734:G1747)-G1741)*0.2</f>
        <v>64505.8</v>
      </c>
      <c r="H1748" s="32">
        <f>(SUM(H1734:H1747)-H1741)*0.2</f>
        <v>38007.800000000003</v>
      </c>
    </row>
    <row r="1749" spans="1:8" s="2" customFormat="1">
      <c r="C1749" s="8" t="s">
        <v>1129</v>
      </c>
      <c r="D1749" s="26"/>
      <c r="G1749" s="32">
        <f>SUM(G1734:G1748)-G1741</f>
        <v>387034.8</v>
      </c>
      <c r="H1749" s="32">
        <f>SUM(H1734:H1748)-H1741</f>
        <v>228046.8</v>
      </c>
    </row>
    <row r="1750" spans="1:8" s="2" customFormat="1">
      <c r="C1750" s="2" t="s">
        <v>2234</v>
      </c>
      <c r="D1750" s="26">
        <v>110000</v>
      </c>
      <c r="E1750" s="2">
        <v>620515</v>
      </c>
      <c r="F1750" s="2">
        <v>710000</v>
      </c>
      <c r="G1750" s="32">
        <v>15552</v>
      </c>
      <c r="H1750" s="32">
        <f>G1750</f>
        <v>15552</v>
      </c>
    </row>
    <row r="1751" spans="1:8" s="2" customFormat="1">
      <c r="C1751" s="8" t="s">
        <v>2235</v>
      </c>
      <c r="D1751" s="26"/>
      <c r="G1751" s="32">
        <f>G1749+G1750</f>
        <v>402586.8</v>
      </c>
      <c r="H1751" s="32">
        <f>H1749+H1750</f>
        <v>243598.8</v>
      </c>
    </row>
    <row r="1752" spans="1:8" s="2" customFormat="1">
      <c r="A1752" s="8"/>
      <c r="C1752" s="8"/>
      <c r="D1752" s="26"/>
      <c r="G1752" s="32"/>
      <c r="H1752" s="32"/>
    </row>
    <row r="1753" spans="1:8" s="2" customFormat="1">
      <c r="A1753" s="5" t="s">
        <v>3044</v>
      </c>
      <c r="B1753" s="2" t="s">
        <v>153</v>
      </c>
      <c r="E1753" s="20"/>
      <c r="G1753" s="32"/>
      <c r="H1753" s="32"/>
    </row>
    <row r="1754" spans="1:8" s="2" customFormat="1">
      <c r="A1754" s="5"/>
      <c r="E1754" s="20"/>
      <c r="G1754" s="32"/>
      <c r="H1754" s="32"/>
    </row>
    <row r="1755" spans="1:8" s="2" customFormat="1">
      <c r="A1755" s="5" t="s">
        <v>2018</v>
      </c>
      <c r="B1755" s="2" t="s">
        <v>154</v>
      </c>
      <c r="C1755" s="2" t="s">
        <v>1029</v>
      </c>
      <c r="D1755" s="2">
        <v>110000</v>
      </c>
      <c r="E1755" s="20" t="s">
        <v>3044</v>
      </c>
      <c r="F1755" s="2">
        <v>610110</v>
      </c>
      <c r="G1755" s="32">
        <f>84200+4150</f>
        <v>88350</v>
      </c>
      <c r="H1755" s="32">
        <f>84200+4150</f>
        <v>88350</v>
      </c>
    </row>
    <row r="1756" spans="1:8" s="2" customFormat="1">
      <c r="A1756" s="5" t="s">
        <v>2019</v>
      </c>
      <c r="B1756" s="2" t="s">
        <v>783</v>
      </c>
      <c r="C1756" s="2" t="s">
        <v>2490</v>
      </c>
      <c r="D1756" s="2">
        <v>110000</v>
      </c>
      <c r="E1756" s="20" t="s">
        <v>3044</v>
      </c>
      <c r="F1756" s="2">
        <v>610110</v>
      </c>
      <c r="G1756" s="32">
        <f>82500+2650</f>
        <v>85150</v>
      </c>
      <c r="H1756" s="32">
        <f>82500+2650</f>
        <v>85150</v>
      </c>
    </row>
    <row r="1757" spans="1:8" s="2" customFormat="1">
      <c r="A1757" s="5" t="s">
        <v>2020</v>
      </c>
      <c r="B1757" s="2" t="s">
        <v>1522</v>
      </c>
      <c r="C1757" s="2" t="s">
        <v>2490</v>
      </c>
      <c r="D1757" s="2">
        <v>110000</v>
      </c>
      <c r="E1757" s="20" t="s">
        <v>3044</v>
      </c>
      <c r="F1757" s="2">
        <v>610110</v>
      </c>
      <c r="G1757" s="32">
        <f>72275+2205</f>
        <v>74480</v>
      </c>
      <c r="H1757" s="32">
        <f>72275+2205</f>
        <v>74480</v>
      </c>
    </row>
    <row r="1758" spans="1:8" s="2" customFormat="1">
      <c r="A1758" s="5" t="s">
        <v>2021</v>
      </c>
      <c r="B1758" s="2" t="s">
        <v>1523</v>
      </c>
      <c r="C1758" s="2" t="s">
        <v>544</v>
      </c>
      <c r="D1758" s="2">
        <v>110000</v>
      </c>
      <c r="E1758" s="20" t="s">
        <v>3044</v>
      </c>
      <c r="F1758" s="2">
        <v>610110</v>
      </c>
      <c r="G1758" s="32">
        <f>56375+1400</f>
        <v>57775</v>
      </c>
      <c r="H1758" s="32">
        <f>56375+1400</f>
        <v>57775</v>
      </c>
    </row>
    <row r="1759" spans="1:8" s="2" customFormat="1">
      <c r="A1759" s="5" t="s">
        <v>2022</v>
      </c>
      <c r="B1759" s="2" t="s">
        <v>1170</v>
      </c>
      <c r="C1759" s="2" t="s">
        <v>544</v>
      </c>
      <c r="D1759" s="2">
        <v>110000</v>
      </c>
      <c r="E1759" s="20" t="s">
        <v>3044</v>
      </c>
      <c r="F1759" s="2">
        <v>610110</v>
      </c>
      <c r="G1759" s="32">
        <f>62775+1550</f>
        <v>64325</v>
      </c>
      <c r="H1759" s="32">
        <f>62775+1550</f>
        <v>64325</v>
      </c>
    </row>
    <row r="1760" spans="1:8" s="2" customFormat="1">
      <c r="A1760" s="5" t="s">
        <v>2023</v>
      </c>
      <c r="B1760" s="2" t="s">
        <v>1224</v>
      </c>
      <c r="C1760" s="2" t="s">
        <v>544</v>
      </c>
      <c r="D1760" s="2">
        <v>110000</v>
      </c>
      <c r="E1760" s="20" t="s">
        <v>3044</v>
      </c>
      <c r="F1760" s="2">
        <v>610110</v>
      </c>
      <c r="G1760" s="32">
        <f>61400+1400</f>
        <v>62800</v>
      </c>
      <c r="H1760" s="32">
        <f>61400+1400</f>
        <v>62800</v>
      </c>
    </row>
    <row r="1761" spans="1:8" s="2" customFormat="1">
      <c r="A1761" s="5" t="s">
        <v>2024</v>
      </c>
      <c r="B1761" s="2" t="s">
        <v>1225</v>
      </c>
      <c r="C1761" s="2" t="s">
        <v>544</v>
      </c>
      <c r="D1761" s="2">
        <v>110000</v>
      </c>
      <c r="E1761" s="20" t="s">
        <v>3044</v>
      </c>
      <c r="F1761" s="2">
        <v>610110</v>
      </c>
      <c r="G1761" s="32">
        <f>67500+3150</f>
        <v>70650</v>
      </c>
      <c r="H1761" s="32">
        <f>67500+3150</f>
        <v>70650</v>
      </c>
    </row>
    <row r="1762" spans="1:8" s="2" customFormat="1">
      <c r="A1762" s="5" t="s">
        <v>2025</v>
      </c>
      <c r="B1762" s="2" t="s">
        <v>1226</v>
      </c>
      <c r="C1762" s="2" t="s">
        <v>148</v>
      </c>
      <c r="D1762" s="2">
        <v>110000</v>
      </c>
      <c r="E1762" s="20" t="s">
        <v>3044</v>
      </c>
      <c r="F1762" s="2">
        <v>610110</v>
      </c>
      <c r="G1762" s="32">
        <f>62500+1700</f>
        <v>64200</v>
      </c>
      <c r="H1762" s="32">
        <f>62500+1700</f>
        <v>64200</v>
      </c>
    </row>
    <row r="1763" spans="1:8" s="2" customFormat="1">
      <c r="A1763" s="5" t="s">
        <v>2026</v>
      </c>
      <c r="B1763" s="2" t="s">
        <v>1227</v>
      </c>
      <c r="C1763" s="2" t="s">
        <v>148</v>
      </c>
      <c r="D1763" s="2">
        <v>110000</v>
      </c>
      <c r="E1763" s="20" t="s">
        <v>3044</v>
      </c>
      <c r="F1763" s="2">
        <v>610110</v>
      </c>
      <c r="G1763" s="32">
        <f>65550+2700</f>
        <v>68250</v>
      </c>
      <c r="H1763" s="32">
        <f>65550+2700</f>
        <v>68250</v>
      </c>
    </row>
    <row r="1764" spans="1:8" s="2" customFormat="1">
      <c r="A1764" s="5" t="s">
        <v>2027</v>
      </c>
      <c r="B1764" s="2" t="s">
        <v>1228</v>
      </c>
      <c r="C1764" s="2" t="s">
        <v>2106</v>
      </c>
      <c r="D1764" s="2">
        <v>110000</v>
      </c>
      <c r="E1764" s="20" t="s">
        <v>3044</v>
      </c>
      <c r="F1764" s="2">
        <v>610110</v>
      </c>
      <c r="G1764" s="32">
        <f>34250+975</f>
        <v>35225</v>
      </c>
      <c r="H1764" s="32">
        <f>34250+975</f>
        <v>35225</v>
      </c>
    </row>
    <row r="1765" spans="1:8" s="2" customFormat="1">
      <c r="A1765" s="5" t="s">
        <v>2028</v>
      </c>
      <c r="B1765" s="2" t="s">
        <v>1030</v>
      </c>
      <c r="C1765" s="2" t="s">
        <v>1023</v>
      </c>
      <c r="D1765" s="2">
        <v>110000</v>
      </c>
      <c r="E1765" s="20" t="s">
        <v>3044</v>
      </c>
      <c r="F1765" s="2">
        <v>610410</v>
      </c>
      <c r="G1765" s="32">
        <f>16832+471</f>
        <v>17303</v>
      </c>
      <c r="H1765" s="32">
        <f>16832+471</f>
        <v>17303</v>
      </c>
    </row>
    <row r="1766" spans="1:8" s="2" customFormat="1">
      <c r="A1766" s="5"/>
      <c r="B1766" s="2" t="s">
        <v>1966</v>
      </c>
      <c r="C1766" s="2" t="s">
        <v>148</v>
      </c>
      <c r="D1766" s="2">
        <v>110000</v>
      </c>
      <c r="E1766" s="20" t="s">
        <v>3044</v>
      </c>
      <c r="F1766" s="2">
        <v>610110</v>
      </c>
      <c r="G1766" s="32">
        <v>70000</v>
      </c>
      <c r="H1766" s="32">
        <v>70000</v>
      </c>
    </row>
    <row r="1767" spans="1:8" s="2" customFormat="1">
      <c r="A1767" s="5"/>
      <c r="B1767" s="2" t="s">
        <v>1967</v>
      </c>
      <c r="C1767" s="2" t="s">
        <v>544</v>
      </c>
      <c r="D1767" s="2">
        <v>110000</v>
      </c>
      <c r="E1767" s="20" t="s">
        <v>3044</v>
      </c>
      <c r="F1767" s="2">
        <v>610110</v>
      </c>
      <c r="G1767" s="32">
        <v>66500</v>
      </c>
      <c r="H1767" s="32">
        <v>66500</v>
      </c>
    </row>
    <row r="1768" spans="1:8" s="2" customFormat="1">
      <c r="A1768" s="5"/>
      <c r="B1768" s="2" t="s">
        <v>1968</v>
      </c>
      <c r="C1768" s="2" t="s">
        <v>148</v>
      </c>
      <c r="D1768" s="2">
        <v>110000</v>
      </c>
      <c r="E1768" s="20" t="s">
        <v>3044</v>
      </c>
      <c r="F1768" s="2">
        <v>610110</v>
      </c>
      <c r="G1768" s="32">
        <v>69500</v>
      </c>
      <c r="H1768" s="32">
        <v>69500</v>
      </c>
    </row>
    <row r="1769" spans="1:8" s="2" customFormat="1">
      <c r="A1769" s="5"/>
      <c r="C1769" s="2" t="s">
        <v>1611</v>
      </c>
      <c r="D1769" s="2">
        <v>110000</v>
      </c>
      <c r="E1769" s="20" t="s">
        <v>3044</v>
      </c>
      <c r="F1769" s="2">
        <v>620000</v>
      </c>
      <c r="G1769" s="32">
        <v>1065</v>
      </c>
      <c r="H1769" s="32">
        <v>1065</v>
      </c>
    </row>
    <row r="1770" spans="1:8" s="2" customFormat="1">
      <c r="A1770" s="5"/>
      <c r="C1770" s="2" t="s">
        <v>1160</v>
      </c>
      <c r="D1770" s="2">
        <v>110000</v>
      </c>
      <c r="E1770" s="20" t="s">
        <v>3044</v>
      </c>
      <c r="F1770" s="2">
        <v>610000</v>
      </c>
      <c r="G1770" s="32">
        <v>3000</v>
      </c>
      <c r="H1770" s="32">
        <v>3000</v>
      </c>
    </row>
    <row r="1771" spans="1:8" s="2" customFormat="1">
      <c r="A1771" s="5"/>
      <c r="C1771" s="2" t="s">
        <v>2950</v>
      </c>
      <c r="D1771" s="2">
        <v>110000</v>
      </c>
      <c r="E1771" s="20" t="s">
        <v>3044</v>
      </c>
      <c r="F1771" s="2">
        <v>610000</v>
      </c>
      <c r="G1771" s="36"/>
      <c r="H1771" s="36"/>
    </row>
    <row r="1772" spans="1:8" s="2" customFormat="1">
      <c r="A1772" s="5"/>
      <c r="C1772" s="2" t="s">
        <v>2951</v>
      </c>
      <c r="D1772" s="2">
        <v>110000</v>
      </c>
      <c r="E1772" s="20" t="s">
        <v>3044</v>
      </c>
      <c r="F1772" s="2">
        <v>630000</v>
      </c>
      <c r="G1772" s="32">
        <f>SUM(G1755:G1771)*0.19</f>
        <v>170728.87</v>
      </c>
      <c r="H1772" s="32">
        <f>SUM(H1755:H1771)*0.19</f>
        <v>170728.87</v>
      </c>
    </row>
    <row r="1773" spans="1:8" s="2" customFormat="1">
      <c r="A1773" s="5"/>
      <c r="C1773" s="8" t="s">
        <v>1129</v>
      </c>
      <c r="E1773" s="20"/>
      <c r="G1773" s="32">
        <f>SUM(G1755:G1772)</f>
        <v>1069301.8700000001</v>
      </c>
      <c r="H1773" s="32">
        <f>SUM(H1755:H1772)</f>
        <v>1069301.8700000001</v>
      </c>
    </row>
    <row r="1774" spans="1:8" s="2" customFormat="1">
      <c r="A1774" s="5"/>
      <c r="C1774" s="2" t="s">
        <v>2234</v>
      </c>
      <c r="D1774" s="2">
        <v>110000</v>
      </c>
      <c r="E1774" s="20" t="s">
        <v>3044</v>
      </c>
      <c r="F1774" s="2">
        <v>710000</v>
      </c>
      <c r="G1774" s="32">
        <v>13198</v>
      </c>
      <c r="H1774" s="32">
        <v>13198</v>
      </c>
    </row>
    <row r="1775" spans="1:8" s="2" customFormat="1">
      <c r="A1775" s="5"/>
      <c r="C1775" s="8" t="s">
        <v>2235</v>
      </c>
      <c r="E1775" s="20"/>
      <c r="G1775" s="32">
        <f>G1773+G1774</f>
        <v>1082499.8700000001</v>
      </c>
      <c r="H1775" s="32">
        <f>H1773+H1774</f>
        <v>1082499.8700000001</v>
      </c>
    </row>
    <row r="1776" spans="1:8" s="2" customFormat="1">
      <c r="A1776" s="5"/>
      <c r="C1776" s="8"/>
      <c r="E1776" s="20"/>
      <c r="G1776" s="32"/>
      <c r="H1776" s="32"/>
    </row>
    <row r="1777" spans="1:8" s="2" customFormat="1">
      <c r="A1777" s="5" t="s">
        <v>3045</v>
      </c>
      <c r="B1777" s="2" t="s">
        <v>554</v>
      </c>
      <c r="E1777" s="20"/>
      <c r="G1777" s="32"/>
      <c r="H1777" s="32"/>
    </row>
    <row r="1778" spans="1:8" s="2" customFormat="1">
      <c r="A1778" s="5"/>
      <c r="E1778" s="20"/>
      <c r="G1778" s="32"/>
      <c r="H1778" s="32"/>
    </row>
    <row r="1779" spans="1:8" s="2" customFormat="1">
      <c r="A1779" s="5" t="s">
        <v>2029</v>
      </c>
      <c r="B1779" s="2" t="s">
        <v>555</v>
      </c>
      <c r="C1779" s="2" t="s">
        <v>1029</v>
      </c>
      <c r="D1779" s="2">
        <v>110000</v>
      </c>
      <c r="E1779" s="20" t="s">
        <v>3045</v>
      </c>
      <c r="F1779" s="2">
        <v>610110</v>
      </c>
      <c r="G1779" s="32">
        <f>83970+2335</f>
        <v>86305</v>
      </c>
      <c r="H1779" s="32">
        <f>83970+2335</f>
        <v>86305</v>
      </c>
    </row>
    <row r="1780" spans="1:8" s="2" customFormat="1">
      <c r="A1780" s="5" t="s">
        <v>2030</v>
      </c>
      <c r="B1780" s="2" t="s">
        <v>2597</v>
      </c>
      <c r="C1780" s="2" t="s">
        <v>544</v>
      </c>
      <c r="D1780" s="2">
        <v>110000</v>
      </c>
      <c r="E1780" s="20" t="s">
        <v>3045</v>
      </c>
      <c r="F1780" s="2">
        <v>610110</v>
      </c>
      <c r="G1780" s="32">
        <f>62812+1288+1570</f>
        <v>65670</v>
      </c>
      <c r="H1780" s="32">
        <f>62812+1288+1570</f>
        <v>65670</v>
      </c>
    </row>
    <row r="1781" spans="1:8" s="2" customFormat="1">
      <c r="A1781" s="5" t="s">
        <v>2031</v>
      </c>
      <c r="B1781" s="2" t="s">
        <v>2598</v>
      </c>
      <c r="C1781" s="2" t="s">
        <v>148</v>
      </c>
      <c r="D1781" s="2">
        <v>110000</v>
      </c>
      <c r="E1781" s="20" t="s">
        <v>3045</v>
      </c>
      <c r="F1781" s="2">
        <v>610110</v>
      </c>
      <c r="G1781" s="32">
        <f>65025+1855</f>
        <v>66880</v>
      </c>
      <c r="H1781" s="32">
        <f>65025+1855</f>
        <v>66880</v>
      </c>
    </row>
    <row r="1782" spans="1:8" s="2" customFormat="1">
      <c r="A1782" s="5" t="s">
        <v>2032</v>
      </c>
      <c r="B1782" s="2" t="s">
        <v>2599</v>
      </c>
      <c r="C1782" s="2" t="s">
        <v>148</v>
      </c>
      <c r="D1782" s="2">
        <v>110000</v>
      </c>
      <c r="E1782" s="20" t="s">
        <v>3045</v>
      </c>
      <c r="F1782" s="2">
        <v>610110</v>
      </c>
      <c r="G1782" s="32">
        <f>47875+1350</f>
        <v>49225</v>
      </c>
      <c r="H1782" s="32">
        <f>47875+1350</f>
        <v>49225</v>
      </c>
    </row>
    <row r="1783" spans="1:8" s="2" customFormat="1">
      <c r="A1783" s="5" t="s">
        <v>2033</v>
      </c>
      <c r="B1783" s="2" t="s">
        <v>2600</v>
      </c>
      <c r="C1783" s="2" t="s">
        <v>148</v>
      </c>
      <c r="D1783" s="2">
        <v>110000</v>
      </c>
      <c r="E1783" s="20" t="s">
        <v>3045</v>
      </c>
      <c r="F1783" s="2">
        <v>610110</v>
      </c>
      <c r="G1783" s="32">
        <f>59500+1475</f>
        <v>60975</v>
      </c>
      <c r="H1783" s="32">
        <f>59500+1475</f>
        <v>60975</v>
      </c>
    </row>
    <row r="1784" spans="1:8" s="2" customFormat="1">
      <c r="A1784" s="5" t="s">
        <v>2034</v>
      </c>
      <c r="B1784" s="2" t="s">
        <v>2601</v>
      </c>
      <c r="C1784" s="2" t="s">
        <v>148</v>
      </c>
      <c r="D1784" s="2">
        <v>110000</v>
      </c>
      <c r="E1784" s="20" t="s">
        <v>3045</v>
      </c>
      <c r="F1784" s="2">
        <v>610110</v>
      </c>
      <c r="G1784" s="32">
        <f>61775+1875</f>
        <v>63650</v>
      </c>
      <c r="H1784" s="32">
        <f>61775+1875</f>
        <v>63650</v>
      </c>
    </row>
    <row r="1785" spans="1:8" s="2" customFormat="1">
      <c r="A1785" s="5" t="s">
        <v>2035</v>
      </c>
      <c r="B1785" s="2" t="s">
        <v>2602</v>
      </c>
      <c r="C1785" s="2" t="s">
        <v>148</v>
      </c>
      <c r="D1785" s="2">
        <v>110000</v>
      </c>
      <c r="E1785" s="20" t="s">
        <v>3045</v>
      </c>
      <c r="F1785" s="2">
        <v>610110</v>
      </c>
      <c r="G1785" s="32">
        <f>59500+1715</f>
        <v>61215</v>
      </c>
      <c r="H1785" s="32">
        <f>59500+1715</f>
        <v>61215</v>
      </c>
    </row>
    <row r="1786" spans="1:8" s="2" customFormat="1">
      <c r="A1786" s="5" t="s">
        <v>2036</v>
      </c>
      <c r="B1786" s="2" t="s">
        <v>2603</v>
      </c>
      <c r="C1786" s="2" t="s">
        <v>1609</v>
      </c>
      <c r="D1786" s="2">
        <v>110000</v>
      </c>
      <c r="E1786" s="20" t="s">
        <v>3045</v>
      </c>
      <c r="F1786" s="2">
        <v>610410</v>
      </c>
      <c r="G1786" s="32">
        <f>19340+542</f>
        <v>19882</v>
      </c>
      <c r="H1786" s="32">
        <f>19340+542</f>
        <v>19882</v>
      </c>
    </row>
    <row r="1787" spans="1:8" s="2" customFormat="1">
      <c r="A1787" s="5"/>
      <c r="C1787" s="2" t="s">
        <v>1611</v>
      </c>
      <c r="D1787" s="2">
        <v>110000</v>
      </c>
      <c r="E1787" s="20" t="s">
        <v>3045</v>
      </c>
      <c r="F1787" s="2">
        <v>620000</v>
      </c>
      <c r="G1787" s="32"/>
      <c r="H1787" s="32"/>
    </row>
    <row r="1788" spans="1:8" s="2" customFormat="1">
      <c r="A1788" s="5"/>
      <c r="C1788" s="2" t="s">
        <v>1160</v>
      </c>
      <c r="D1788" s="2">
        <v>110000</v>
      </c>
      <c r="E1788" s="20" t="s">
        <v>3045</v>
      </c>
      <c r="F1788" s="2">
        <v>610000</v>
      </c>
      <c r="G1788" s="32">
        <v>12350</v>
      </c>
      <c r="H1788" s="32">
        <v>12350</v>
      </c>
    </row>
    <row r="1789" spans="1:8" s="2" customFormat="1">
      <c r="A1789" s="5"/>
      <c r="C1789" s="2" t="s">
        <v>2950</v>
      </c>
      <c r="D1789" s="2">
        <v>110000</v>
      </c>
      <c r="E1789" s="20" t="s">
        <v>3045</v>
      </c>
      <c r="F1789" s="2">
        <v>610000</v>
      </c>
      <c r="G1789" s="37">
        <f>3000</f>
        <v>3000</v>
      </c>
      <c r="H1789" s="37">
        <f>3000</f>
        <v>3000</v>
      </c>
    </row>
    <row r="1790" spans="1:8" s="2" customFormat="1">
      <c r="A1790" s="5"/>
      <c r="C1790" s="2" t="s">
        <v>2951</v>
      </c>
      <c r="D1790" s="2">
        <v>110000</v>
      </c>
      <c r="E1790" s="20" t="s">
        <v>3045</v>
      </c>
      <c r="F1790" s="2">
        <v>630000</v>
      </c>
      <c r="G1790" s="32">
        <f>SUM(G1779:G1789)*0.2</f>
        <v>97830.400000000009</v>
      </c>
      <c r="H1790" s="32">
        <f>SUM(H1779:H1789)*0.2</f>
        <v>97830.400000000009</v>
      </c>
    </row>
    <row r="1791" spans="1:8" s="2" customFormat="1">
      <c r="A1791" s="5"/>
      <c r="C1791" s="8" t="s">
        <v>1129</v>
      </c>
      <c r="E1791" s="20"/>
      <c r="G1791" s="32">
        <f>SUM(G1779:G1790)</f>
        <v>586982.40000000002</v>
      </c>
      <c r="H1791" s="32">
        <f>SUM(H1779:H1790)</f>
        <v>586982.40000000002</v>
      </c>
    </row>
    <row r="1792" spans="1:8" s="2" customFormat="1">
      <c r="A1792" s="5"/>
      <c r="C1792" s="2" t="s">
        <v>2234</v>
      </c>
      <c r="D1792" s="2">
        <v>110000</v>
      </c>
      <c r="E1792" s="20" t="s">
        <v>3045</v>
      </c>
      <c r="F1792" s="2">
        <v>710000</v>
      </c>
      <c r="G1792" s="32">
        <v>10847</v>
      </c>
      <c r="H1792" s="32">
        <v>10847</v>
      </c>
    </row>
    <row r="1793" spans="1:8" s="2" customFormat="1">
      <c r="A1793" s="5"/>
      <c r="C1793" s="2" t="s">
        <v>2604</v>
      </c>
      <c r="D1793" s="2">
        <v>110000</v>
      </c>
      <c r="E1793" s="20" t="s">
        <v>3045</v>
      </c>
      <c r="F1793" s="2">
        <v>710000</v>
      </c>
      <c r="G1793" s="32">
        <v>7500</v>
      </c>
      <c r="H1793" s="32">
        <v>7500</v>
      </c>
    </row>
    <row r="1794" spans="1:8" s="2" customFormat="1">
      <c r="A1794" s="5"/>
      <c r="C1794" s="8" t="s">
        <v>2235</v>
      </c>
      <c r="E1794" s="20"/>
      <c r="G1794" s="32">
        <f>SUM(G1791:G1793)</f>
        <v>605329.4</v>
      </c>
      <c r="H1794" s="32">
        <f>SUM(H1791:H1793)</f>
        <v>605329.4</v>
      </c>
    </row>
    <row r="1795" spans="1:8" s="2" customFormat="1">
      <c r="A1795" s="5"/>
      <c r="E1795" s="20"/>
      <c r="G1795" s="32"/>
      <c r="H1795" s="32"/>
    </row>
    <row r="1796" spans="1:8" s="2" customFormat="1">
      <c r="A1796" s="6" t="s">
        <v>2558</v>
      </c>
      <c r="B1796" s="2" t="s">
        <v>559</v>
      </c>
      <c r="D1796" s="26"/>
      <c r="G1796" s="32"/>
      <c r="H1796" s="32"/>
    </row>
    <row r="1797" spans="1:8" s="2" customFormat="1">
      <c r="D1797" s="26"/>
      <c r="G1797" s="32"/>
      <c r="H1797" s="32"/>
    </row>
    <row r="1798" spans="1:8" s="2" customFormat="1">
      <c r="A1798" s="5" t="s">
        <v>1898</v>
      </c>
      <c r="B1798" s="2" t="s">
        <v>560</v>
      </c>
      <c r="C1798" s="2" t="s">
        <v>2209</v>
      </c>
      <c r="D1798" s="26">
        <v>110000</v>
      </c>
      <c r="E1798" s="2">
        <v>620810</v>
      </c>
      <c r="F1798" s="2">
        <v>610210</v>
      </c>
      <c r="G1798" s="32">
        <f>40875+1089</f>
        <v>41964</v>
      </c>
      <c r="H1798" s="32">
        <f>40875+1089</f>
        <v>41964</v>
      </c>
    </row>
    <row r="1799" spans="1:8" s="2" customFormat="1">
      <c r="D1799" s="26"/>
      <c r="G1799" s="32">
        <v>47540</v>
      </c>
      <c r="H1799" s="32"/>
    </row>
    <row r="1800" spans="1:8" s="2" customFormat="1">
      <c r="D1800" s="26"/>
      <c r="E1800" s="2" t="s">
        <v>2880</v>
      </c>
      <c r="G1800" s="32">
        <f>G1798+G1799</f>
        <v>89504</v>
      </c>
      <c r="H1800" s="32">
        <f>H1798+H1799</f>
        <v>41964</v>
      </c>
    </row>
    <row r="1801" spans="1:8" s="2" customFormat="1">
      <c r="A1801" s="5" t="s">
        <v>1899</v>
      </c>
      <c r="B1801" s="2" t="s">
        <v>561</v>
      </c>
      <c r="C1801" s="2" t="s">
        <v>161</v>
      </c>
      <c r="D1801" s="26">
        <v>110000</v>
      </c>
      <c r="E1801" s="2">
        <v>620810</v>
      </c>
      <c r="F1801" s="2">
        <v>610210</v>
      </c>
      <c r="G1801" s="32">
        <f>35415+885</f>
        <v>36300</v>
      </c>
      <c r="H1801" s="32">
        <f>35415+885</f>
        <v>36300</v>
      </c>
    </row>
    <row r="1802" spans="1:8" s="2" customFormat="1">
      <c r="D1802" s="26"/>
      <c r="G1802" s="32">
        <f>35415+885</f>
        <v>36300</v>
      </c>
      <c r="H1802" s="32">
        <v>0</v>
      </c>
    </row>
    <row r="1803" spans="1:8" s="2" customFormat="1">
      <c r="D1803" s="26"/>
      <c r="E1803" s="2" t="s">
        <v>2880</v>
      </c>
      <c r="G1803" s="32">
        <f>G1801+G1802</f>
        <v>72600</v>
      </c>
      <c r="H1803" s="32">
        <f>H1801+H1802</f>
        <v>36300</v>
      </c>
    </row>
    <row r="1804" spans="1:8" s="2" customFormat="1">
      <c r="A1804" s="5" t="s">
        <v>1900</v>
      </c>
      <c r="B1804" s="2" t="s">
        <v>562</v>
      </c>
      <c r="C1804" s="2" t="s">
        <v>1016</v>
      </c>
      <c r="D1804" s="26">
        <v>110000</v>
      </c>
      <c r="E1804" s="2">
        <v>620810</v>
      </c>
      <c r="F1804" s="2">
        <v>610210</v>
      </c>
      <c r="G1804" s="32">
        <f>24429+489</f>
        <v>24918</v>
      </c>
      <c r="H1804" s="32">
        <f>24429+489</f>
        <v>24918</v>
      </c>
    </row>
    <row r="1805" spans="1:8" s="2" customFormat="1">
      <c r="D1805" s="26"/>
      <c r="G1805" s="32">
        <f>24429+489</f>
        <v>24918</v>
      </c>
      <c r="H1805" s="32"/>
    </row>
    <row r="1806" spans="1:8" s="2" customFormat="1">
      <c r="D1806" s="26"/>
      <c r="E1806" s="2" t="s">
        <v>2880</v>
      </c>
      <c r="G1806" s="32">
        <f>G1804+G1805</f>
        <v>49836</v>
      </c>
      <c r="H1806" s="32">
        <f>H1804+H1805</f>
        <v>24918</v>
      </c>
    </row>
    <row r="1807" spans="1:8" s="2" customFormat="1">
      <c r="A1807" s="5" t="s">
        <v>1901</v>
      </c>
      <c r="B1807" s="2" t="s">
        <v>563</v>
      </c>
      <c r="C1807" s="2" t="s">
        <v>1016</v>
      </c>
      <c r="D1807" s="26">
        <v>110000</v>
      </c>
      <c r="E1807" s="2">
        <v>620810</v>
      </c>
      <c r="F1807" s="2">
        <v>610210</v>
      </c>
      <c r="G1807" s="32">
        <f>22548+676</f>
        <v>23224</v>
      </c>
      <c r="H1807" s="32">
        <f>22548+676</f>
        <v>23224</v>
      </c>
    </row>
    <row r="1808" spans="1:8" s="2" customFormat="1">
      <c r="D1808" s="26"/>
      <c r="G1808" s="32">
        <f>22548+676</f>
        <v>23224</v>
      </c>
      <c r="H1808" s="32"/>
    </row>
    <row r="1809" spans="1:8" s="2" customFormat="1">
      <c r="D1809" s="26"/>
      <c r="E1809" s="2" t="s">
        <v>2880</v>
      </c>
      <c r="G1809" s="32">
        <f>G1807+G1808</f>
        <v>46448</v>
      </c>
      <c r="H1809" s="32">
        <f>H1807+H1808</f>
        <v>23224</v>
      </c>
    </row>
    <row r="1810" spans="1:8" s="2" customFormat="1">
      <c r="A1810" s="5" t="s">
        <v>1902</v>
      </c>
      <c r="B1810" s="2" t="s">
        <v>564</v>
      </c>
      <c r="C1810" s="2" t="s">
        <v>1016</v>
      </c>
      <c r="D1810" s="26">
        <v>110000</v>
      </c>
      <c r="E1810" s="2">
        <v>620810</v>
      </c>
      <c r="F1810" s="2">
        <v>610210</v>
      </c>
      <c r="G1810" s="32">
        <f>22158+886</f>
        <v>23044</v>
      </c>
      <c r="H1810" s="32">
        <f>22158+886</f>
        <v>23044</v>
      </c>
    </row>
    <row r="1811" spans="1:8" s="2" customFormat="1">
      <c r="D1811" s="26"/>
      <c r="G1811" s="32">
        <f>22158+4875</f>
        <v>27033</v>
      </c>
      <c r="H1811" s="32"/>
    </row>
    <row r="1812" spans="1:8" s="2" customFormat="1">
      <c r="D1812" s="26"/>
      <c r="E1812" s="2" t="s">
        <v>2880</v>
      </c>
      <c r="G1812" s="32">
        <f>G1810+G1811</f>
        <v>50077</v>
      </c>
      <c r="H1812" s="32">
        <f>H1810+H1811</f>
        <v>23044</v>
      </c>
    </row>
    <row r="1813" spans="1:8" s="2" customFormat="1">
      <c r="A1813" s="5" t="s">
        <v>1903</v>
      </c>
      <c r="B1813" s="2" t="s">
        <v>565</v>
      </c>
      <c r="C1813" s="2" t="s">
        <v>1016</v>
      </c>
      <c r="D1813" s="26">
        <v>110000</v>
      </c>
      <c r="E1813" s="2">
        <v>620810</v>
      </c>
      <c r="F1813" s="2">
        <v>610210</v>
      </c>
      <c r="G1813" s="32">
        <f>25608+1024</f>
        <v>26632</v>
      </c>
      <c r="H1813" s="32">
        <f>25608+1024</f>
        <v>26632</v>
      </c>
    </row>
    <row r="1814" spans="1:8" s="2" customFormat="1">
      <c r="D1814" s="26"/>
      <c r="G1814" s="32">
        <f>25608+1024</f>
        <v>26632</v>
      </c>
      <c r="H1814" s="32"/>
    </row>
    <row r="1815" spans="1:8" s="2" customFormat="1">
      <c r="D1815" s="26"/>
      <c r="E1815" s="2" t="s">
        <v>2880</v>
      </c>
      <c r="G1815" s="32">
        <f>G1813+G1814</f>
        <v>53264</v>
      </c>
      <c r="H1815" s="32">
        <f>H1813+H1814</f>
        <v>26632</v>
      </c>
    </row>
    <row r="1816" spans="1:8" s="2" customFormat="1">
      <c r="A1816" s="5" t="s">
        <v>1904</v>
      </c>
      <c r="B1816" s="2" t="s">
        <v>566</v>
      </c>
      <c r="C1816" s="2" t="s">
        <v>1016</v>
      </c>
      <c r="D1816" s="26">
        <v>110000</v>
      </c>
      <c r="E1816" s="2">
        <v>620810</v>
      </c>
      <c r="F1816" s="2">
        <v>610210</v>
      </c>
      <c r="G1816" s="32">
        <f>22559+902</f>
        <v>23461</v>
      </c>
      <c r="H1816" s="32">
        <f>22559+902</f>
        <v>23461</v>
      </c>
    </row>
    <row r="1817" spans="1:8" s="2" customFormat="1">
      <c r="D1817" s="26"/>
      <c r="G1817" s="32">
        <f>22559+4060</f>
        <v>26619</v>
      </c>
      <c r="H1817" s="32"/>
    </row>
    <row r="1818" spans="1:8" s="2" customFormat="1">
      <c r="D1818" s="26"/>
      <c r="E1818" s="2" t="s">
        <v>2880</v>
      </c>
      <c r="G1818" s="32">
        <f>G1816+G1817</f>
        <v>50080</v>
      </c>
      <c r="H1818" s="32">
        <f>H1816+H1817</f>
        <v>23461</v>
      </c>
    </row>
    <row r="1819" spans="1:8" s="2" customFormat="1">
      <c r="A1819" s="6" t="s">
        <v>2558</v>
      </c>
      <c r="B1819" s="2" t="s">
        <v>559</v>
      </c>
      <c r="D1819" s="26"/>
      <c r="G1819" s="32"/>
      <c r="H1819" s="32"/>
    </row>
    <row r="1820" spans="1:8" s="2" customFormat="1">
      <c r="D1820" s="26"/>
      <c r="G1820" s="32"/>
      <c r="H1820" s="32"/>
    </row>
    <row r="1821" spans="1:8" s="2" customFormat="1">
      <c r="A1821" s="5" t="s">
        <v>1905</v>
      </c>
      <c r="C1821" s="2" t="s">
        <v>1151</v>
      </c>
      <c r="D1821" s="26">
        <v>110000</v>
      </c>
      <c r="E1821" s="2">
        <v>620810</v>
      </c>
      <c r="F1821" s="2">
        <v>610210</v>
      </c>
      <c r="G1821" s="32">
        <v>20961</v>
      </c>
      <c r="H1821" s="32">
        <v>20961</v>
      </c>
    </row>
    <row r="1822" spans="1:8" s="2" customFormat="1">
      <c r="D1822" s="26"/>
      <c r="G1822" s="32">
        <v>20961</v>
      </c>
      <c r="H1822" s="32"/>
    </row>
    <row r="1823" spans="1:8" s="2" customFormat="1">
      <c r="D1823" s="26"/>
      <c r="E1823" s="2" t="s">
        <v>2880</v>
      </c>
      <c r="G1823" s="32">
        <f>G1821+G1822</f>
        <v>41922</v>
      </c>
      <c r="H1823" s="32">
        <f>H1821+H1822</f>
        <v>20961</v>
      </c>
    </row>
    <row r="1824" spans="1:8" s="2" customFormat="1">
      <c r="A1824" s="5" t="s">
        <v>1906</v>
      </c>
      <c r="B1824" s="2" t="s">
        <v>1445</v>
      </c>
      <c r="C1824" s="2" t="s">
        <v>1016</v>
      </c>
      <c r="D1824" s="26">
        <v>110000</v>
      </c>
      <c r="E1824" s="2">
        <v>620810</v>
      </c>
      <c r="F1824" s="2">
        <v>610210</v>
      </c>
      <c r="G1824" s="32">
        <f>23137+925</f>
        <v>24062</v>
      </c>
      <c r="H1824" s="32">
        <f>23137+925</f>
        <v>24062</v>
      </c>
    </row>
    <row r="1825" spans="1:8" s="2" customFormat="1">
      <c r="D1825" s="26"/>
      <c r="G1825" s="32">
        <f>23137+925</f>
        <v>24062</v>
      </c>
      <c r="H1825" s="32"/>
    </row>
    <row r="1826" spans="1:8" s="2" customFormat="1">
      <c r="D1826" s="26"/>
      <c r="E1826" s="2" t="s">
        <v>2880</v>
      </c>
      <c r="G1826" s="32">
        <f>G1824+G1825</f>
        <v>48124</v>
      </c>
      <c r="H1826" s="32">
        <f>H1824+H1825</f>
        <v>24062</v>
      </c>
    </row>
    <row r="1827" spans="1:8" s="2" customFormat="1">
      <c r="A1827" s="5" t="s">
        <v>1907</v>
      </c>
      <c r="B1827" s="2" t="s">
        <v>1446</v>
      </c>
      <c r="C1827" s="2" t="s">
        <v>1151</v>
      </c>
      <c r="D1827" s="26">
        <v>110000</v>
      </c>
      <c r="E1827" s="2">
        <v>620810</v>
      </c>
      <c r="F1827" s="2">
        <v>610210</v>
      </c>
      <c r="G1827" s="32">
        <f>19904+597</f>
        <v>20501</v>
      </c>
      <c r="H1827" s="32">
        <f>19904+597</f>
        <v>20501</v>
      </c>
    </row>
    <row r="1828" spans="1:8" s="2" customFormat="1">
      <c r="D1828" s="26"/>
      <c r="G1828" s="32">
        <f>19904+597</f>
        <v>20501</v>
      </c>
      <c r="H1828" s="32"/>
    </row>
    <row r="1829" spans="1:8" s="2" customFormat="1">
      <c r="D1829" s="26"/>
      <c r="E1829" s="2" t="s">
        <v>2880</v>
      </c>
      <c r="G1829" s="32">
        <f>G1827+G1828</f>
        <v>41002</v>
      </c>
      <c r="H1829" s="32">
        <f>H1827+H1828</f>
        <v>20501</v>
      </c>
    </row>
    <row r="1830" spans="1:8" s="2" customFormat="1">
      <c r="A1830" s="5" t="s">
        <v>1908</v>
      </c>
      <c r="B1830" s="2" t="s">
        <v>1447</v>
      </c>
      <c r="C1830" s="2" t="s">
        <v>1151</v>
      </c>
      <c r="D1830" s="26">
        <v>110000</v>
      </c>
      <c r="E1830" s="2">
        <v>620810</v>
      </c>
      <c r="F1830" s="2">
        <v>610210</v>
      </c>
      <c r="G1830" s="32">
        <f>16762+670</f>
        <v>17432</v>
      </c>
      <c r="H1830" s="32">
        <f>16762+670</f>
        <v>17432</v>
      </c>
    </row>
    <row r="1831" spans="1:8" s="2" customFormat="1">
      <c r="D1831" s="26"/>
      <c r="G1831" s="32">
        <f>16762+670</f>
        <v>17432</v>
      </c>
      <c r="H1831" s="32"/>
    </row>
    <row r="1832" spans="1:8" s="2" customFormat="1">
      <c r="D1832" s="26"/>
      <c r="E1832" s="2" t="s">
        <v>2880</v>
      </c>
      <c r="G1832" s="32">
        <f>G1830+G1831</f>
        <v>34864</v>
      </c>
      <c r="H1832" s="32">
        <f>H1830+H1831</f>
        <v>17432</v>
      </c>
    </row>
    <row r="1833" spans="1:8" s="2" customFormat="1">
      <c r="A1833" s="5" t="s">
        <v>1909</v>
      </c>
      <c r="B1833" s="2" t="s">
        <v>157</v>
      </c>
      <c r="C1833" s="2" t="s">
        <v>1151</v>
      </c>
      <c r="D1833" s="26">
        <v>110000</v>
      </c>
      <c r="E1833" s="2">
        <v>620810</v>
      </c>
      <c r="F1833" s="2">
        <v>610210</v>
      </c>
      <c r="G1833" s="32">
        <f>17711+531</f>
        <v>18242</v>
      </c>
      <c r="H1833" s="32">
        <f>17711+531</f>
        <v>18242</v>
      </c>
    </row>
    <row r="1834" spans="1:8" s="2" customFormat="1">
      <c r="D1834" s="26"/>
      <c r="G1834" s="32">
        <f>17289+519</f>
        <v>17808</v>
      </c>
      <c r="H1834" s="32"/>
    </row>
    <row r="1835" spans="1:8" s="2" customFormat="1">
      <c r="D1835" s="26"/>
      <c r="E1835" s="2" t="s">
        <v>2880</v>
      </c>
      <c r="G1835" s="32">
        <f>G1833+G1834</f>
        <v>36050</v>
      </c>
      <c r="H1835" s="32">
        <f>H1833+H1834</f>
        <v>18242</v>
      </c>
    </row>
    <row r="1836" spans="1:8" s="2" customFormat="1">
      <c r="A1836" s="5" t="s">
        <v>1910</v>
      </c>
      <c r="B1836" s="2" t="s">
        <v>1448</v>
      </c>
      <c r="C1836" s="2" t="s">
        <v>1151</v>
      </c>
      <c r="D1836" s="26">
        <v>110000</v>
      </c>
      <c r="E1836" s="2">
        <v>620810</v>
      </c>
      <c r="F1836" s="2">
        <v>610210</v>
      </c>
      <c r="G1836" s="32">
        <v>13600</v>
      </c>
      <c r="H1836" s="32">
        <v>13600</v>
      </c>
    </row>
    <row r="1837" spans="1:8" s="2" customFormat="1">
      <c r="D1837" s="26"/>
      <c r="G1837" s="32">
        <v>13600</v>
      </c>
      <c r="H1837" s="32"/>
    </row>
    <row r="1838" spans="1:8" s="2" customFormat="1">
      <c r="D1838" s="26"/>
      <c r="E1838" s="2" t="s">
        <v>2880</v>
      </c>
      <c r="G1838" s="32">
        <f>G1836+G1837</f>
        <v>27200</v>
      </c>
      <c r="H1838" s="32">
        <f>H1836+H1837</f>
        <v>13600</v>
      </c>
    </row>
    <row r="1839" spans="1:8" s="2" customFormat="1">
      <c r="A1839" s="5" t="s">
        <v>1911</v>
      </c>
      <c r="B1839" s="2" t="s">
        <v>1449</v>
      </c>
      <c r="C1839" s="2" t="s">
        <v>1151</v>
      </c>
      <c r="D1839" s="26">
        <v>110000</v>
      </c>
      <c r="E1839" s="2">
        <v>620810</v>
      </c>
      <c r="F1839" s="2">
        <v>610210</v>
      </c>
      <c r="G1839" s="32">
        <f>16785+671</f>
        <v>17456</v>
      </c>
      <c r="H1839" s="32">
        <f>16785+671</f>
        <v>17456</v>
      </c>
    </row>
    <row r="1840" spans="1:8" s="2" customFormat="1">
      <c r="A1840" s="5"/>
      <c r="D1840" s="26"/>
      <c r="G1840" s="32">
        <f>21702+868</f>
        <v>22570</v>
      </c>
      <c r="H1840" s="32"/>
    </row>
    <row r="1841" spans="1:8" s="2" customFormat="1">
      <c r="A1841" s="5"/>
      <c r="D1841" s="26"/>
      <c r="E1841" s="2" t="s">
        <v>2880</v>
      </c>
      <c r="G1841" s="32">
        <f>SUM(G1839:G1840)</f>
        <v>40026</v>
      </c>
      <c r="H1841" s="32">
        <f>SUM(H1839:H1840)</f>
        <v>17456</v>
      </c>
    </row>
    <row r="1842" spans="1:8" s="2" customFormat="1">
      <c r="A1842" s="5" t="s">
        <v>930</v>
      </c>
      <c r="B1842" s="2" t="s">
        <v>1450</v>
      </c>
      <c r="C1842" s="2" t="s">
        <v>1151</v>
      </c>
      <c r="D1842" s="26"/>
      <c r="G1842" s="32">
        <v>28501</v>
      </c>
      <c r="H1842" s="32">
        <v>0</v>
      </c>
    </row>
    <row r="1843" spans="1:8" s="2" customFormat="1">
      <c r="A1843" s="5" t="s">
        <v>1912</v>
      </c>
      <c r="B1843" s="2" t="s">
        <v>2594</v>
      </c>
      <c r="C1843" s="2" t="s">
        <v>1016</v>
      </c>
      <c r="D1843" s="26">
        <v>110000</v>
      </c>
      <c r="E1843" s="2">
        <v>620810</v>
      </c>
      <c r="F1843" s="2">
        <v>610210</v>
      </c>
      <c r="G1843" s="32">
        <f>20435+817</f>
        <v>21252</v>
      </c>
      <c r="H1843" s="32">
        <f>20435+817</f>
        <v>21252</v>
      </c>
    </row>
    <row r="1844" spans="1:8" s="2" customFormat="1">
      <c r="A1844" s="5"/>
      <c r="D1844" s="26"/>
      <c r="G1844" s="32">
        <f>20435+817</f>
        <v>21252</v>
      </c>
      <c r="H1844" s="32"/>
    </row>
    <row r="1845" spans="1:8" s="2" customFormat="1">
      <c r="A1845" s="5"/>
      <c r="D1845" s="26"/>
      <c r="E1845" s="2" t="s">
        <v>2880</v>
      </c>
      <c r="G1845" s="32">
        <f>SUM(G1843:G1844)</f>
        <v>42504</v>
      </c>
      <c r="H1845" s="32">
        <f>SUM(H1843:H1844)</f>
        <v>21252</v>
      </c>
    </row>
    <row r="1846" spans="1:8" s="2" customFormat="1">
      <c r="A1846" s="6" t="s">
        <v>2558</v>
      </c>
      <c r="B1846" s="2" t="s">
        <v>559</v>
      </c>
      <c r="D1846" s="26"/>
      <c r="G1846" s="32"/>
      <c r="H1846" s="32"/>
    </row>
    <row r="1847" spans="1:8" s="2" customFormat="1">
      <c r="A1847" s="5"/>
      <c r="D1847" s="26"/>
      <c r="G1847" s="32"/>
      <c r="H1847" s="32"/>
    </row>
    <row r="1848" spans="1:8" s="2" customFormat="1">
      <c r="A1848" s="5" t="s">
        <v>931</v>
      </c>
      <c r="B1848" s="2" t="s">
        <v>2595</v>
      </c>
      <c r="C1848" s="2" t="s">
        <v>1151</v>
      </c>
      <c r="D1848" s="26"/>
      <c r="G1848" s="32">
        <v>22000</v>
      </c>
      <c r="H1848" s="32"/>
    </row>
    <row r="1849" spans="1:8" s="2" customFormat="1">
      <c r="A1849" s="5" t="s">
        <v>1913</v>
      </c>
      <c r="B1849" s="2" t="s">
        <v>2596</v>
      </c>
      <c r="C1849" s="2" t="s">
        <v>1151</v>
      </c>
      <c r="D1849" s="26">
        <v>110000</v>
      </c>
      <c r="E1849" s="2">
        <v>620810</v>
      </c>
      <c r="F1849" s="2">
        <v>610210</v>
      </c>
      <c r="G1849" s="32">
        <f>17500+525</f>
        <v>18025</v>
      </c>
      <c r="H1849" s="32">
        <f>17500+525</f>
        <v>18025</v>
      </c>
    </row>
    <row r="1850" spans="1:8" s="2" customFormat="1">
      <c r="A1850" s="5"/>
      <c r="D1850" s="26"/>
      <c r="G1850" s="32">
        <f>17500+525</f>
        <v>18025</v>
      </c>
      <c r="H1850" s="32"/>
    </row>
    <row r="1851" spans="1:8" s="2" customFormat="1">
      <c r="A1851" s="5"/>
      <c r="D1851" s="26"/>
      <c r="E1851" s="2" t="s">
        <v>2880</v>
      </c>
      <c r="G1851" s="32">
        <f>SUM(G1849:G1850)</f>
        <v>36050</v>
      </c>
      <c r="H1851" s="32">
        <f>SUM(H1849:H1850)</f>
        <v>18025</v>
      </c>
    </row>
    <row r="1852" spans="1:8" s="2" customFormat="1">
      <c r="A1852" s="5" t="s">
        <v>1914</v>
      </c>
      <c r="B1852" s="2" t="s">
        <v>76</v>
      </c>
      <c r="C1852" s="2" t="s">
        <v>2877</v>
      </c>
      <c r="D1852" s="26">
        <v>110000</v>
      </c>
      <c r="E1852" s="2">
        <v>620810</v>
      </c>
      <c r="F1852" s="2">
        <v>610410</v>
      </c>
      <c r="G1852" s="32">
        <f>12679+355</f>
        <v>13034</v>
      </c>
      <c r="H1852" s="32">
        <f>12679+355</f>
        <v>13034</v>
      </c>
    </row>
    <row r="1853" spans="1:8" s="2" customFormat="1">
      <c r="D1853" s="26"/>
      <c r="G1853" s="32">
        <v>12679</v>
      </c>
      <c r="H1853" s="32"/>
    </row>
    <row r="1854" spans="1:8" s="2" customFormat="1">
      <c r="D1854" s="26"/>
      <c r="E1854" s="2" t="s">
        <v>2880</v>
      </c>
      <c r="G1854" s="32">
        <f>G1852+G1853</f>
        <v>25713</v>
      </c>
      <c r="H1854" s="32">
        <f>H1852+H1853</f>
        <v>13034</v>
      </c>
    </row>
    <row r="1855" spans="1:8" s="2" customFormat="1">
      <c r="A1855" s="5" t="s">
        <v>1915</v>
      </c>
      <c r="B1855" s="2" t="s">
        <v>77</v>
      </c>
      <c r="C1855" s="2" t="s">
        <v>2210</v>
      </c>
      <c r="D1855" s="26">
        <v>110000</v>
      </c>
      <c r="E1855" s="2">
        <v>620810</v>
      </c>
      <c r="F1855" s="2">
        <v>610410</v>
      </c>
      <c r="G1855" s="32">
        <f>8886+249</f>
        <v>9135</v>
      </c>
      <c r="H1855" s="32">
        <f>8886+249</f>
        <v>9135</v>
      </c>
    </row>
    <row r="1856" spans="1:8" s="2" customFormat="1">
      <c r="D1856" s="26"/>
      <c r="G1856" s="32">
        <v>8886</v>
      </c>
      <c r="H1856" s="32"/>
    </row>
    <row r="1857" spans="1:8" s="2" customFormat="1">
      <c r="D1857" s="26"/>
      <c r="E1857" s="2" t="s">
        <v>2880</v>
      </c>
      <c r="G1857" s="32">
        <f>G1855+G1856</f>
        <v>18021</v>
      </c>
      <c r="H1857" s="32">
        <f>H1855+H1856</f>
        <v>9135</v>
      </c>
    </row>
    <row r="1858" spans="1:8" s="2" customFormat="1">
      <c r="A1858" s="5" t="s">
        <v>1916</v>
      </c>
      <c r="B1858" s="2" t="s">
        <v>78</v>
      </c>
      <c r="C1858" s="2" t="s">
        <v>1023</v>
      </c>
      <c r="D1858" s="26">
        <v>110000</v>
      </c>
      <c r="E1858" s="2">
        <v>620810</v>
      </c>
      <c r="F1858" s="2">
        <v>610410</v>
      </c>
      <c r="G1858" s="32">
        <f>9105+255</f>
        <v>9360</v>
      </c>
      <c r="H1858" s="32">
        <f>9105+255</f>
        <v>9360</v>
      </c>
    </row>
    <row r="1859" spans="1:8" s="2" customFormat="1">
      <c r="D1859" s="26"/>
      <c r="G1859" s="32">
        <v>9106</v>
      </c>
      <c r="H1859" s="32"/>
    </row>
    <row r="1860" spans="1:8" s="2" customFormat="1">
      <c r="D1860" s="26"/>
      <c r="E1860" s="2" t="s">
        <v>2880</v>
      </c>
      <c r="G1860" s="32">
        <f>G1858+G1859</f>
        <v>18466</v>
      </c>
      <c r="H1860" s="32">
        <f>H1858+H1859</f>
        <v>9360</v>
      </c>
    </row>
    <row r="1861" spans="1:8" s="2" customFormat="1">
      <c r="A1861" s="5" t="s">
        <v>79</v>
      </c>
      <c r="C1861" s="2" t="s">
        <v>1611</v>
      </c>
      <c r="D1861" s="26">
        <v>110000</v>
      </c>
      <c r="E1861" s="2">
        <v>620810</v>
      </c>
      <c r="F1861" s="2">
        <v>620000</v>
      </c>
      <c r="G1861" s="32"/>
      <c r="H1861" s="32"/>
    </row>
    <row r="1862" spans="1:8" s="2" customFormat="1">
      <c r="A1862" s="5" t="s">
        <v>80</v>
      </c>
      <c r="C1862" s="2" t="s">
        <v>2950</v>
      </c>
      <c r="D1862" s="26">
        <v>110000</v>
      </c>
      <c r="E1862" s="2">
        <v>620810</v>
      </c>
      <c r="F1862" s="2">
        <v>610000</v>
      </c>
      <c r="G1862" s="37">
        <f>865</f>
        <v>865</v>
      </c>
      <c r="H1862" s="37">
        <f>865</f>
        <v>865</v>
      </c>
    </row>
    <row r="1863" spans="1:8" s="2" customFormat="1">
      <c r="C1863" s="2" t="s">
        <v>2951</v>
      </c>
      <c r="D1863" s="26">
        <v>110000</v>
      </c>
      <c r="E1863" s="2">
        <v>620810</v>
      </c>
      <c r="F1863" s="2">
        <v>630000</v>
      </c>
      <c r="G1863" s="32">
        <f>(SUM(G1798:G1862)-G1800-G1803-G1806-G1809-G1812-G1815-G1818-G1823-G1826-G1829-G1832-G1835-G1838-G1841-G1845-G1851-G1854-G1857-G1860)*0.22</f>
        <v>192085.74</v>
      </c>
      <c r="H1863" s="32">
        <f>(SUM(H1798:H1862)-H1800-H1803-H1806-H1809-H1812-H1815-H1818-H1823-H1826-H1829-H1832-H1835-H1838-H1841-H1845-H1851-H1854-H1857-H1860)*0.22-997</f>
        <v>87765.96</v>
      </c>
    </row>
    <row r="1864" spans="1:8" s="2" customFormat="1">
      <c r="C1864" s="8" t="s">
        <v>1129</v>
      </c>
      <c r="D1864" s="26"/>
      <c r="G1864" s="32">
        <f>SUM(G1798:G1863)-G1800-G1803-G1806-G1809-G1812-G1815-G1818-G1823-G1826-G1829-G1832-G1835-G1838-G1841-G1845-G1851-G1854-G1857-G1860</f>
        <v>1065202.74</v>
      </c>
      <c r="H1864" s="32">
        <f>SUM(H1798:H1863)-H1800-H1803-H1806-H1809-H1812-H1815-H1818-H1823-H1826-H1829-H1832-H1835-H1838-H1841-H1845-H1851-H1854-H1857-H1860</f>
        <v>491233.95999999996</v>
      </c>
    </row>
    <row r="1865" spans="1:8" s="2" customFormat="1">
      <c r="C1865" s="2" t="s">
        <v>2234</v>
      </c>
      <c r="D1865" s="26">
        <v>110000</v>
      </c>
      <c r="E1865" s="2">
        <v>620810</v>
      </c>
      <c r="F1865" s="2">
        <v>710000</v>
      </c>
      <c r="G1865" s="32">
        <v>97651</v>
      </c>
      <c r="H1865" s="32">
        <v>97651</v>
      </c>
    </row>
    <row r="1866" spans="1:8" s="2" customFormat="1">
      <c r="C1866" s="8" t="s">
        <v>2235</v>
      </c>
      <c r="D1866" s="26"/>
      <c r="G1866" s="32">
        <f>G1864+G1865</f>
        <v>1162853.74</v>
      </c>
      <c r="H1866" s="32">
        <f>H1864+H1865</f>
        <v>588884.96</v>
      </c>
    </row>
    <row r="1867" spans="1:8" s="2" customFormat="1">
      <c r="A1867" s="8"/>
      <c r="C1867" s="8"/>
      <c r="D1867" s="26"/>
      <c r="G1867" s="32"/>
      <c r="H1867" s="32"/>
    </row>
    <row r="1868" spans="1:8" s="2" customFormat="1">
      <c r="A1868" s="5" t="s">
        <v>2947</v>
      </c>
      <c r="B1868" s="2" t="s">
        <v>2429</v>
      </c>
      <c r="G1868" s="32"/>
      <c r="H1868" s="32"/>
    </row>
    <row r="1869" spans="1:8" s="2" customFormat="1">
      <c r="A1869" s="5"/>
      <c r="G1869" s="32"/>
      <c r="H1869" s="32"/>
    </row>
    <row r="1870" spans="1:8" s="2" customFormat="1">
      <c r="A1870" s="6"/>
      <c r="C1870" s="2" t="s">
        <v>328</v>
      </c>
      <c r="D1870" s="2">
        <v>110000</v>
      </c>
      <c r="E1870" s="2">
        <v>630000</v>
      </c>
      <c r="F1870" s="19">
        <v>799999</v>
      </c>
      <c r="G1870" s="32">
        <f>64321-2573</f>
        <v>61748</v>
      </c>
      <c r="H1870" s="32">
        <f>64321-2573</f>
        <v>61748</v>
      </c>
    </row>
    <row r="1871" spans="1:8" s="2" customFormat="1">
      <c r="A1871" s="6"/>
      <c r="C1871" s="2" t="s">
        <v>2063</v>
      </c>
      <c r="D1871" s="2">
        <v>110000</v>
      </c>
      <c r="E1871" s="2">
        <v>630000</v>
      </c>
      <c r="F1871" s="19">
        <v>799999</v>
      </c>
      <c r="G1871" s="32">
        <f>276637-11065</f>
        <v>265572</v>
      </c>
      <c r="H1871" s="32">
        <f>276637-11065</f>
        <v>265572</v>
      </c>
    </row>
    <row r="1872" spans="1:8" s="2" customFormat="1">
      <c r="A1872" s="6"/>
      <c r="C1872" s="2" t="s">
        <v>2950</v>
      </c>
      <c r="D1872" s="2">
        <v>110000</v>
      </c>
      <c r="E1872" s="2">
        <v>630000</v>
      </c>
      <c r="F1872" s="19">
        <v>799999</v>
      </c>
      <c r="G1872" s="32"/>
      <c r="H1872" s="32"/>
    </row>
    <row r="1873" spans="1:8" s="2" customFormat="1">
      <c r="A1873" s="5"/>
      <c r="C1873" s="2" t="s">
        <v>2951</v>
      </c>
      <c r="D1873" s="2">
        <v>110000</v>
      </c>
      <c r="E1873" s="2">
        <v>630000</v>
      </c>
      <c r="F1873" s="19">
        <v>799999</v>
      </c>
      <c r="G1873" s="32">
        <f>G1870*0.08+G1871*0.18+G1872*0.21-577</f>
        <v>52165.8</v>
      </c>
      <c r="H1873" s="32">
        <f>H1870*0.08+H1871*0.18+H1872*0.21-577</f>
        <v>52165.8</v>
      </c>
    </row>
    <row r="1874" spans="1:8" s="2" customFormat="1">
      <c r="A1874" s="5"/>
      <c r="C1874" s="8" t="s">
        <v>1129</v>
      </c>
      <c r="G1874" s="32">
        <f>SUM(G1870:G1873)</f>
        <v>379485.8</v>
      </c>
      <c r="H1874" s="32">
        <f>SUM(H1870:H1873)</f>
        <v>379485.8</v>
      </c>
    </row>
    <row r="1875" spans="1:8" s="2" customFormat="1">
      <c r="A1875" s="5"/>
      <c r="C1875" s="8" t="s">
        <v>2235</v>
      </c>
      <c r="G1875" s="32">
        <f>G1874</f>
        <v>379485.8</v>
      </c>
      <c r="H1875" s="32">
        <f>H1874</f>
        <v>379485.8</v>
      </c>
    </row>
    <row r="1876" spans="1:8" s="2" customFormat="1">
      <c r="A1876" s="5"/>
      <c r="G1876" s="32"/>
      <c r="H1876" s="32"/>
    </row>
    <row r="1877" spans="1:8" s="2" customFormat="1">
      <c r="A1877" s="15">
        <v>630000</v>
      </c>
      <c r="B1877" s="2" t="s">
        <v>219</v>
      </c>
      <c r="C1877" s="8"/>
      <c r="D1877" s="26"/>
      <c r="G1877" s="32"/>
      <c r="H1877" s="32"/>
    </row>
    <row r="1878" spans="1:8" s="2" customFormat="1">
      <c r="C1878" s="8"/>
      <c r="D1878" s="26"/>
      <c r="G1878" s="32"/>
      <c r="H1878" s="32"/>
    </row>
    <row r="1879" spans="1:8" s="19" customFormat="1">
      <c r="C1879" s="27" t="s">
        <v>2234</v>
      </c>
      <c r="D1879" s="28">
        <v>110000</v>
      </c>
      <c r="E1879" s="19">
        <v>630000</v>
      </c>
      <c r="F1879" s="19">
        <v>710000</v>
      </c>
      <c r="G1879" s="34">
        <v>285739</v>
      </c>
      <c r="H1879" s="34">
        <v>285739</v>
      </c>
    </row>
    <row r="1880" spans="1:8" s="2" customFormat="1">
      <c r="C1880" s="8" t="s">
        <v>2235</v>
      </c>
      <c r="D1880" s="26"/>
      <c r="G1880" s="32">
        <f>G1879</f>
        <v>285739</v>
      </c>
      <c r="H1880" s="32">
        <f>H1879</f>
        <v>285739</v>
      </c>
    </row>
    <row r="1881" spans="1:8" s="2" customFormat="1">
      <c r="C1881" s="8"/>
      <c r="D1881" s="26"/>
      <c r="G1881" s="32"/>
      <c r="H1881" s="32"/>
    </row>
    <row r="1882" spans="1:8" s="2" customFormat="1">
      <c r="A1882" s="15">
        <v>630000</v>
      </c>
      <c r="B1882" s="2" t="s">
        <v>2459</v>
      </c>
      <c r="D1882" s="26"/>
      <c r="G1882" s="32"/>
      <c r="H1882" s="32"/>
    </row>
    <row r="1883" spans="1:8" s="2" customFormat="1">
      <c r="A1883" s="15"/>
      <c r="D1883" s="26"/>
      <c r="G1883" s="32"/>
      <c r="H1883" s="32"/>
    </row>
    <row r="1884" spans="1:8" s="2" customFormat="1">
      <c r="A1884" s="15"/>
      <c r="C1884" s="2" t="s">
        <v>2460</v>
      </c>
      <c r="D1884" s="26">
        <v>110000</v>
      </c>
      <c r="E1884" s="2">
        <v>630000</v>
      </c>
      <c r="F1884" s="2">
        <v>710000</v>
      </c>
      <c r="G1884" s="32">
        <v>20353</v>
      </c>
      <c r="H1884" s="32">
        <v>20353</v>
      </c>
    </row>
    <row r="1885" spans="1:8" s="2" customFormat="1">
      <c r="A1885" s="15"/>
      <c r="C1885" s="8" t="s">
        <v>2235</v>
      </c>
      <c r="D1885" s="26"/>
      <c r="G1885" s="32">
        <f>G1884</f>
        <v>20353</v>
      </c>
      <c r="H1885" s="32">
        <f>H1884</f>
        <v>20353</v>
      </c>
    </row>
    <row r="1886" spans="1:8" s="2" customFormat="1">
      <c r="A1886" s="15"/>
      <c r="D1886" s="26"/>
      <c r="G1886" s="32"/>
      <c r="H1886" s="32"/>
    </row>
    <row r="1887" spans="1:8" s="2" customFormat="1">
      <c r="A1887" s="15">
        <v>630000</v>
      </c>
      <c r="B1887" s="2" t="s">
        <v>1805</v>
      </c>
      <c r="D1887" s="26"/>
      <c r="G1887" s="32"/>
      <c r="H1887" s="32"/>
    </row>
    <row r="1888" spans="1:8" s="2" customFormat="1">
      <c r="A1888" s="15"/>
      <c r="D1888" s="26"/>
      <c r="G1888" s="32"/>
      <c r="H1888" s="32"/>
    </row>
    <row r="1889" spans="1:8" s="2" customFormat="1">
      <c r="A1889" s="15"/>
      <c r="C1889" s="2" t="s">
        <v>1806</v>
      </c>
      <c r="D1889" s="26">
        <v>110000</v>
      </c>
      <c r="E1889" s="2">
        <v>630000</v>
      </c>
      <c r="F1889" s="2">
        <v>710000</v>
      </c>
      <c r="G1889" s="32">
        <v>44100</v>
      </c>
      <c r="H1889" s="32">
        <v>44100</v>
      </c>
    </row>
    <row r="1890" spans="1:8" s="2" customFormat="1">
      <c r="A1890" s="15"/>
      <c r="C1890" s="8" t="s">
        <v>2235</v>
      </c>
      <c r="D1890" s="26"/>
      <c r="G1890" s="32">
        <f>G1889</f>
        <v>44100</v>
      </c>
      <c r="H1890" s="32">
        <f>H1889</f>
        <v>44100</v>
      </c>
    </row>
    <row r="1891" spans="1:8" s="2" customFormat="1">
      <c r="A1891" s="15"/>
      <c r="D1891" s="26"/>
      <c r="G1891" s="32"/>
      <c r="H1891" s="32"/>
    </row>
    <row r="1892" spans="1:8" s="2" customFormat="1">
      <c r="A1892" s="6" t="s">
        <v>492</v>
      </c>
      <c r="B1892" s="2" t="s">
        <v>1782</v>
      </c>
      <c r="E1892" s="20"/>
      <c r="F1892" s="25"/>
      <c r="G1892" s="32"/>
      <c r="H1892" s="32"/>
    </row>
    <row r="1893" spans="1:8" s="2" customFormat="1">
      <c r="A1893" s="5"/>
      <c r="E1893" s="20"/>
      <c r="F1893" s="25"/>
      <c r="G1893" s="32"/>
      <c r="H1893" s="32"/>
    </row>
    <row r="1894" spans="1:8" s="2" customFormat="1">
      <c r="A1894" s="5" t="s">
        <v>2327</v>
      </c>
      <c r="B1894" s="2" t="s">
        <v>1783</v>
      </c>
      <c r="C1894" s="2" t="s">
        <v>2807</v>
      </c>
      <c r="D1894" s="2">
        <v>110000</v>
      </c>
      <c r="E1894" s="20" t="s">
        <v>492</v>
      </c>
      <c r="F1894" s="25">
        <v>610210</v>
      </c>
      <c r="G1894" s="32">
        <f>83904+2853</f>
        <v>86757</v>
      </c>
      <c r="H1894" s="32">
        <f>83904+2853</f>
        <v>86757</v>
      </c>
    </row>
    <row r="1895" spans="1:8" s="2" customFormat="1">
      <c r="A1895" s="5" t="s">
        <v>2328</v>
      </c>
      <c r="B1895" s="2" t="s">
        <v>1784</v>
      </c>
      <c r="C1895" s="2" t="s">
        <v>3191</v>
      </c>
      <c r="D1895" s="2">
        <v>110000</v>
      </c>
      <c r="E1895" s="20" t="s">
        <v>492</v>
      </c>
      <c r="F1895" s="25">
        <v>610210</v>
      </c>
      <c r="G1895" s="32">
        <f>68954+1931</f>
        <v>70885</v>
      </c>
      <c r="H1895" s="32">
        <f>68954+1931</f>
        <v>70885</v>
      </c>
    </row>
    <row r="1896" spans="1:8" s="2" customFormat="1">
      <c r="A1896" s="5" t="s">
        <v>2329</v>
      </c>
      <c r="B1896" s="2" t="s">
        <v>1785</v>
      </c>
      <c r="C1896" s="2" t="s">
        <v>1608</v>
      </c>
      <c r="D1896" s="2">
        <v>110000</v>
      </c>
      <c r="E1896" s="20" t="s">
        <v>492</v>
      </c>
      <c r="F1896" s="25">
        <v>610210</v>
      </c>
      <c r="G1896" s="32">
        <f>29446+824</f>
        <v>30270</v>
      </c>
      <c r="H1896" s="32">
        <f>29446+824</f>
        <v>30270</v>
      </c>
    </row>
    <row r="1897" spans="1:8" s="2" customFormat="1">
      <c r="A1897" s="5" t="s">
        <v>2330</v>
      </c>
      <c r="B1897" s="2" t="s">
        <v>1373</v>
      </c>
      <c r="C1897" s="2" t="s">
        <v>1456</v>
      </c>
      <c r="D1897" s="2">
        <v>110000</v>
      </c>
      <c r="E1897" s="20" t="s">
        <v>492</v>
      </c>
      <c r="F1897" s="25">
        <v>610410</v>
      </c>
      <c r="G1897" s="32">
        <f>22422+628+1466+41+1072</f>
        <v>25629</v>
      </c>
      <c r="H1897" s="32">
        <f>22422+628+1466+41+1072</f>
        <v>25629</v>
      </c>
    </row>
    <row r="1898" spans="1:8" s="2" customFormat="1">
      <c r="A1898" s="5" t="s">
        <v>2331</v>
      </c>
      <c r="B1898" s="2" t="s">
        <v>1126</v>
      </c>
      <c r="C1898" s="2" t="s">
        <v>1613</v>
      </c>
      <c r="D1898" s="2">
        <v>110000</v>
      </c>
      <c r="E1898" s="20" t="s">
        <v>492</v>
      </c>
      <c r="F1898" s="2">
        <v>610410</v>
      </c>
      <c r="G1898" s="32">
        <f>27252+763</f>
        <v>28015</v>
      </c>
      <c r="H1898" s="32">
        <f>27252+763</f>
        <v>28015</v>
      </c>
    </row>
    <row r="1899" spans="1:8" s="2" customFormat="1">
      <c r="A1899" s="5" t="s">
        <v>2332</v>
      </c>
      <c r="B1899" s="2" t="s">
        <v>1127</v>
      </c>
      <c r="C1899" s="2" t="s">
        <v>2808</v>
      </c>
      <c r="D1899" s="2">
        <v>110000</v>
      </c>
      <c r="E1899" s="20" t="s">
        <v>492</v>
      </c>
      <c r="F1899" s="2">
        <v>610410</v>
      </c>
      <c r="G1899" s="32">
        <f>21645+606</f>
        <v>22251</v>
      </c>
      <c r="H1899" s="32">
        <f>21645+606</f>
        <v>22251</v>
      </c>
    </row>
    <row r="1900" spans="1:8" s="2" customFormat="1">
      <c r="A1900" s="5"/>
      <c r="C1900" s="2" t="s">
        <v>1611</v>
      </c>
      <c r="D1900" s="2">
        <v>110000</v>
      </c>
      <c r="E1900" s="20" t="s">
        <v>492</v>
      </c>
      <c r="F1900" s="2">
        <v>620000</v>
      </c>
      <c r="G1900" s="32"/>
      <c r="H1900" s="32"/>
    </row>
    <row r="1901" spans="1:8" s="2" customFormat="1">
      <c r="A1901" s="5"/>
      <c r="C1901" s="2" t="s">
        <v>2950</v>
      </c>
      <c r="D1901" s="2">
        <v>110000</v>
      </c>
      <c r="E1901" s="20" t="s">
        <v>492</v>
      </c>
      <c r="F1901" s="2">
        <v>610000</v>
      </c>
      <c r="G1901" s="36"/>
      <c r="H1901" s="36"/>
    </row>
    <row r="1902" spans="1:8" s="2" customFormat="1">
      <c r="A1902" s="5"/>
      <c r="C1902" s="2" t="s">
        <v>2951</v>
      </c>
      <c r="D1902" s="2">
        <v>110000</v>
      </c>
      <c r="E1902" s="20" t="s">
        <v>492</v>
      </c>
      <c r="F1902" s="2">
        <v>630000</v>
      </c>
      <c r="G1902" s="32">
        <f>SUM(G1894:G1901)*0.19-1275</f>
        <v>48848.33</v>
      </c>
      <c r="H1902" s="32">
        <f>SUM(H1894:H1901)*0.19-1275</f>
        <v>48848.33</v>
      </c>
    </row>
    <row r="1903" spans="1:8" s="2" customFormat="1">
      <c r="A1903" s="5"/>
      <c r="C1903" s="8" t="s">
        <v>1129</v>
      </c>
      <c r="E1903" s="20"/>
      <c r="G1903" s="32">
        <f>SUM(G1894:G1902)</f>
        <v>312655.33</v>
      </c>
      <c r="H1903" s="32">
        <f>SUM(H1894:H1902)</f>
        <v>312655.33</v>
      </c>
    </row>
    <row r="1904" spans="1:8" s="2" customFormat="1">
      <c r="A1904" s="5"/>
      <c r="C1904" s="2" t="s">
        <v>2234</v>
      </c>
      <c r="D1904" s="2">
        <v>110000</v>
      </c>
      <c r="E1904" s="20" t="s">
        <v>492</v>
      </c>
      <c r="F1904" s="2">
        <v>710000</v>
      </c>
      <c r="G1904" s="32">
        <f>56908-1794</f>
        <v>55114</v>
      </c>
      <c r="H1904" s="32">
        <f>56908-1794</f>
        <v>55114</v>
      </c>
    </row>
    <row r="1905" spans="1:8" s="2" customFormat="1">
      <c r="A1905" s="5"/>
      <c r="C1905" s="8" t="s">
        <v>2235</v>
      </c>
      <c r="E1905" s="20"/>
      <c r="G1905" s="32">
        <f>G1903+G1904</f>
        <v>367769.33</v>
      </c>
      <c r="H1905" s="32">
        <f>H1903+H1904</f>
        <v>367769.33</v>
      </c>
    </row>
    <row r="1906" spans="1:8" s="2" customFormat="1">
      <c r="A1906" s="5"/>
      <c r="C1906" s="8"/>
      <c r="E1906" s="20"/>
      <c r="G1906" s="32"/>
      <c r="H1906" s="32"/>
    </row>
    <row r="1907" spans="1:8" s="2" customFormat="1">
      <c r="A1907" s="5" t="s">
        <v>2508</v>
      </c>
      <c r="B1907" s="2" t="s">
        <v>1051</v>
      </c>
      <c r="G1907" s="32"/>
      <c r="H1907" s="32"/>
    </row>
    <row r="1908" spans="1:8" s="2" customFormat="1">
      <c r="A1908" s="5"/>
      <c r="G1908" s="32"/>
      <c r="H1908" s="32"/>
    </row>
    <row r="1909" spans="1:8" s="2" customFormat="1">
      <c r="A1909" s="6" t="s">
        <v>1325</v>
      </c>
      <c r="B1909" s="2" t="s">
        <v>456</v>
      </c>
      <c r="C1909" s="2" t="s">
        <v>544</v>
      </c>
      <c r="D1909" s="2">
        <v>110000</v>
      </c>
      <c r="E1909" s="2">
        <v>630510</v>
      </c>
      <c r="F1909" s="2">
        <v>610110</v>
      </c>
      <c r="G1909" s="32">
        <v>16135</v>
      </c>
      <c r="H1909" s="32"/>
    </row>
    <row r="1910" spans="1:8" s="2" customFormat="1">
      <c r="A1910" s="6"/>
      <c r="D1910" s="2">
        <v>211402</v>
      </c>
      <c r="E1910" s="2">
        <v>630210</v>
      </c>
      <c r="F1910" s="2">
        <v>610110</v>
      </c>
      <c r="G1910" s="32">
        <v>41952</v>
      </c>
      <c r="H1910" s="32"/>
    </row>
    <row r="1911" spans="1:8" s="2" customFormat="1">
      <c r="A1911" s="6"/>
      <c r="D1911" s="2">
        <v>211182</v>
      </c>
      <c r="E1911" s="2">
        <v>630210</v>
      </c>
      <c r="F1911" s="2">
        <v>610110</v>
      </c>
      <c r="G1911" s="32">
        <v>6454</v>
      </c>
      <c r="H1911" s="32"/>
    </row>
    <row r="1912" spans="1:8" s="2" customFormat="1">
      <c r="A1912" s="6"/>
      <c r="E1912" s="2" t="s">
        <v>2880</v>
      </c>
      <c r="G1912" s="32">
        <f>SUM(G1909:G1911)</f>
        <v>64541</v>
      </c>
      <c r="H1912" s="32">
        <f>SUM(H1909:H1911)</f>
        <v>0</v>
      </c>
    </row>
    <row r="1913" spans="1:8" s="2" customFormat="1">
      <c r="A1913" s="6" t="s">
        <v>1326</v>
      </c>
      <c r="B1913" s="2" t="s">
        <v>1052</v>
      </c>
      <c r="C1913" s="2" t="s">
        <v>2106</v>
      </c>
      <c r="D1913" s="2">
        <v>110000</v>
      </c>
      <c r="E1913" s="2">
        <v>630310</v>
      </c>
      <c r="F1913" s="2">
        <v>610110</v>
      </c>
      <c r="G1913" s="32">
        <f>29771+834</f>
        <v>30605</v>
      </c>
      <c r="H1913" s="32">
        <f>29771+834</f>
        <v>30605</v>
      </c>
    </row>
    <row r="1914" spans="1:8" s="2" customFormat="1">
      <c r="A1914" s="6" t="s">
        <v>1327</v>
      </c>
      <c r="B1914" s="2" t="s">
        <v>1053</v>
      </c>
      <c r="C1914" s="2" t="s">
        <v>2106</v>
      </c>
      <c r="D1914" s="2">
        <v>110000</v>
      </c>
      <c r="E1914" s="2">
        <v>630310</v>
      </c>
      <c r="F1914" s="2">
        <v>610110</v>
      </c>
      <c r="G1914" s="32">
        <f>30905+865</f>
        <v>31770</v>
      </c>
      <c r="H1914" s="32">
        <f>30905+865</f>
        <v>31770</v>
      </c>
    </row>
    <row r="1915" spans="1:8" s="2" customFormat="1">
      <c r="A1915" s="6" t="s">
        <v>1328</v>
      </c>
      <c r="B1915" s="2" t="s">
        <v>1054</v>
      </c>
      <c r="C1915" s="2" t="s">
        <v>2884</v>
      </c>
      <c r="D1915" s="2">
        <v>110000</v>
      </c>
      <c r="E1915" s="2">
        <v>630310</v>
      </c>
      <c r="F1915" s="2">
        <v>610210</v>
      </c>
      <c r="G1915" s="32">
        <f>7326+805</f>
        <v>8131</v>
      </c>
      <c r="H1915" s="32">
        <f>7326+805</f>
        <v>8131</v>
      </c>
    </row>
    <row r="1916" spans="1:8" s="2" customFormat="1">
      <c r="A1916" s="6"/>
      <c r="D1916" s="2">
        <v>211402</v>
      </c>
      <c r="E1916" s="2">
        <v>630210</v>
      </c>
      <c r="F1916" s="2">
        <v>610210</v>
      </c>
      <c r="G1916" s="32">
        <v>21977</v>
      </c>
      <c r="H1916" s="32">
        <v>0</v>
      </c>
    </row>
    <row r="1917" spans="1:8" s="2" customFormat="1">
      <c r="A1917" s="6"/>
      <c r="E1917" s="2" t="s">
        <v>2880</v>
      </c>
      <c r="G1917" s="32">
        <f>SUM(G1915:G1916)</f>
        <v>30108</v>
      </c>
      <c r="H1917" s="32">
        <f>H1915+H1916</f>
        <v>8131</v>
      </c>
    </row>
    <row r="1918" spans="1:8" s="2" customFormat="1">
      <c r="A1918" s="6" t="s">
        <v>916</v>
      </c>
      <c r="B1918" s="2" t="s">
        <v>1055</v>
      </c>
      <c r="C1918" s="2" t="s">
        <v>2884</v>
      </c>
      <c r="D1918" s="2">
        <v>110000</v>
      </c>
      <c r="E1918" s="2">
        <v>630310</v>
      </c>
      <c r="F1918" s="2">
        <v>610210</v>
      </c>
      <c r="G1918" s="32">
        <f>3652+102</f>
        <v>3754</v>
      </c>
      <c r="H1918" s="32">
        <f>3652+102</f>
        <v>3754</v>
      </c>
    </row>
    <row r="1919" spans="1:8" s="2" customFormat="1">
      <c r="A1919" s="6"/>
      <c r="D1919" s="2">
        <v>211182</v>
      </c>
      <c r="E1919" s="2">
        <v>630210</v>
      </c>
      <c r="F1919" s="2">
        <v>610210</v>
      </c>
      <c r="G1919" s="32">
        <v>32867</v>
      </c>
      <c r="H1919" s="32">
        <v>0</v>
      </c>
    </row>
    <row r="1920" spans="1:8" s="2" customFormat="1">
      <c r="A1920" s="6"/>
      <c r="E1920" s="2" t="s">
        <v>2880</v>
      </c>
      <c r="G1920" s="32">
        <f>G1918+G1919</f>
        <v>36621</v>
      </c>
      <c r="H1920" s="32">
        <f>H1918+H1919</f>
        <v>3754</v>
      </c>
    </row>
    <row r="1921" spans="1:8" s="2" customFormat="1">
      <c r="A1921" s="6" t="s">
        <v>1329</v>
      </c>
      <c r="B1921" s="2" t="s">
        <v>282</v>
      </c>
      <c r="C1921" s="2" t="s">
        <v>1212</v>
      </c>
      <c r="D1921" s="2">
        <v>211402</v>
      </c>
      <c r="E1921" s="2">
        <v>630210</v>
      </c>
      <c r="F1921" s="2">
        <v>610410</v>
      </c>
      <c r="G1921" s="32">
        <v>36381</v>
      </c>
      <c r="H1921" s="32">
        <v>0</v>
      </c>
    </row>
    <row r="1922" spans="1:8" s="2" customFormat="1">
      <c r="A1922" s="6" t="s">
        <v>1330</v>
      </c>
      <c r="B1922" s="2" t="s">
        <v>961</v>
      </c>
      <c r="C1922" s="2" t="s">
        <v>1212</v>
      </c>
      <c r="D1922" s="2">
        <v>211402</v>
      </c>
      <c r="E1922" s="2">
        <v>630210</v>
      </c>
      <c r="F1922" s="2">
        <v>610410</v>
      </c>
      <c r="G1922" s="32">
        <v>33343</v>
      </c>
      <c r="H1922" s="32">
        <v>0</v>
      </c>
    </row>
    <row r="1923" spans="1:8" s="2" customFormat="1">
      <c r="A1923" s="6" t="s">
        <v>1331</v>
      </c>
      <c r="B1923" s="2" t="s">
        <v>66</v>
      </c>
      <c r="C1923" s="2" t="s">
        <v>1453</v>
      </c>
      <c r="D1923" s="2">
        <v>110000</v>
      </c>
      <c r="E1923" s="2">
        <v>630310</v>
      </c>
      <c r="F1923" s="2">
        <v>610410</v>
      </c>
      <c r="G1923" s="32">
        <v>5011</v>
      </c>
      <c r="H1923" s="32">
        <v>5011</v>
      </c>
    </row>
    <row r="1924" spans="1:8" s="2" customFormat="1">
      <c r="A1924" s="6"/>
      <c r="D1924" s="2">
        <v>211402</v>
      </c>
      <c r="E1924" s="2">
        <v>630210</v>
      </c>
      <c r="F1924" s="2">
        <v>610410</v>
      </c>
      <c r="G1924" s="32">
        <v>12025</v>
      </c>
      <c r="H1924" s="32"/>
    </row>
    <row r="1925" spans="1:8" s="2" customFormat="1">
      <c r="A1925" s="6"/>
      <c r="D1925" s="2">
        <v>211182</v>
      </c>
      <c r="E1925" s="2">
        <v>630210</v>
      </c>
      <c r="F1925" s="2">
        <v>610410</v>
      </c>
      <c r="G1925" s="32">
        <v>3010</v>
      </c>
      <c r="H1925" s="32">
        <v>0</v>
      </c>
    </row>
    <row r="1926" spans="1:8" s="2" customFormat="1">
      <c r="A1926" s="6"/>
      <c r="E1926" s="2" t="s">
        <v>2880</v>
      </c>
      <c r="G1926" s="32">
        <f>SUM(G1923:G1925)</f>
        <v>20046</v>
      </c>
      <c r="H1926" s="32">
        <f>SUM(H1923:H1925)</f>
        <v>5011</v>
      </c>
    </row>
    <row r="1927" spans="1:8" s="2" customFormat="1">
      <c r="A1927" s="6" t="s">
        <v>1332</v>
      </c>
      <c r="B1927" s="2" t="s">
        <v>1529</v>
      </c>
      <c r="C1927" s="2" t="s">
        <v>962</v>
      </c>
      <c r="D1927" s="2">
        <v>110000</v>
      </c>
      <c r="E1927" s="2">
        <v>630310</v>
      </c>
      <c r="F1927" s="2">
        <v>610410</v>
      </c>
      <c r="G1927" s="32">
        <f>8297+232</f>
        <v>8529</v>
      </c>
      <c r="H1927" s="32">
        <f>8297+232</f>
        <v>8529</v>
      </c>
    </row>
    <row r="1928" spans="1:8" s="2" customFormat="1">
      <c r="A1928" s="6"/>
      <c r="D1928" s="2">
        <v>211402</v>
      </c>
      <c r="E1928" s="2">
        <v>630210</v>
      </c>
      <c r="F1928" s="2">
        <v>610410</v>
      </c>
      <c r="G1928" s="32">
        <v>5808</v>
      </c>
      <c r="H1928" s="32">
        <v>0</v>
      </c>
    </row>
    <row r="1929" spans="1:8" s="2" customFormat="1">
      <c r="A1929" s="6"/>
      <c r="D1929" s="2">
        <v>211182</v>
      </c>
      <c r="E1929" s="2">
        <v>630210</v>
      </c>
      <c r="F1929" s="2">
        <v>610410</v>
      </c>
      <c r="G1929" s="32">
        <v>2489</v>
      </c>
      <c r="H1929" s="32">
        <v>0</v>
      </c>
    </row>
    <row r="1930" spans="1:8" s="2" customFormat="1">
      <c r="A1930" s="6"/>
      <c r="E1930" s="2" t="s">
        <v>2880</v>
      </c>
      <c r="G1930" s="32">
        <f>SUM(G1927:G1929)</f>
        <v>16826</v>
      </c>
      <c r="H1930" s="32">
        <f>SUM(H1927:H1929)</f>
        <v>8529</v>
      </c>
    </row>
    <row r="1931" spans="1:8" s="2" customFormat="1">
      <c r="A1931" s="6"/>
      <c r="C1931" s="2" t="s">
        <v>1611</v>
      </c>
      <c r="D1931" s="2">
        <v>110000</v>
      </c>
      <c r="E1931" s="2">
        <v>630310</v>
      </c>
      <c r="F1931" s="2">
        <v>620000</v>
      </c>
      <c r="G1931" s="32"/>
      <c r="H1931" s="32"/>
    </row>
    <row r="1932" spans="1:8" s="2" customFormat="1">
      <c r="A1932" s="6"/>
      <c r="C1932" s="2" t="s">
        <v>2950</v>
      </c>
      <c r="D1932" s="2">
        <v>110000</v>
      </c>
      <c r="E1932" s="2">
        <v>630310</v>
      </c>
      <c r="F1932" s="2">
        <v>610000</v>
      </c>
      <c r="G1932" s="36"/>
      <c r="H1932" s="36"/>
    </row>
    <row r="1933" spans="1:8" s="2" customFormat="1">
      <c r="A1933" s="6"/>
      <c r="C1933" s="2" t="s">
        <v>2951</v>
      </c>
      <c r="D1933" s="2">
        <v>110000</v>
      </c>
      <c r="E1933" s="2">
        <v>630310</v>
      </c>
      <c r="F1933" s="2">
        <v>630000</v>
      </c>
      <c r="G1933" s="32">
        <f>(SUM(G1909:G1932)-G1912-G1917-G1920-G1926-G1930)*0.21+295</f>
        <v>63345.61</v>
      </c>
      <c r="H1933" s="32">
        <f>(SUM(H1909:H1932)-H1912-H1917-H1920-H1926-H1930)*0.21+295</f>
        <v>18733</v>
      </c>
    </row>
    <row r="1934" spans="1:8" s="2" customFormat="1">
      <c r="A1934" s="6"/>
      <c r="C1934" s="8" t="s">
        <v>1129</v>
      </c>
      <c r="G1934" s="32">
        <f>SUM(G1909:G1933)-G1912-G1917-G1920-G1926-G1930</f>
        <v>363586.61</v>
      </c>
      <c r="H1934" s="32">
        <f>SUM(H1909:H1933)-H1912-H1917-H1920-H1926-H1930</f>
        <v>106533</v>
      </c>
    </row>
    <row r="1935" spans="1:8" s="2" customFormat="1">
      <c r="A1935" s="6"/>
      <c r="C1935" s="8"/>
      <c r="G1935" s="32"/>
      <c r="H1935" s="32"/>
    </row>
    <row r="1936" spans="1:8" s="2" customFormat="1">
      <c r="A1936" s="5" t="s">
        <v>2508</v>
      </c>
      <c r="B1936" s="2" t="s">
        <v>1051</v>
      </c>
      <c r="C1936" s="8"/>
      <c r="G1936" s="32"/>
      <c r="H1936" s="32"/>
    </row>
    <row r="1937" spans="1:8" s="2" customFormat="1">
      <c r="A1937" s="6"/>
      <c r="C1937" s="8"/>
      <c r="G1937" s="32"/>
      <c r="H1937" s="32"/>
    </row>
    <row r="1938" spans="1:8" s="2" customFormat="1">
      <c r="A1938" s="6"/>
      <c r="C1938" s="2" t="s">
        <v>2234</v>
      </c>
      <c r="D1938" s="2">
        <v>110000</v>
      </c>
      <c r="E1938" s="2">
        <v>630310</v>
      </c>
      <c r="F1938" s="2">
        <v>710000</v>
      </c>
      <c r="G1938" s="32">
        <v>2990</v>
      </c>
      <c r="H1938" s="32">
        <v>2990</v>
      </c>
    </row>
    <row r="1939" spans="1:8" s="2" customFormat="1">
      <c r="A1939" s="6"/>
      <c r="C1939" s="8" t="s">
        <v>2235</v>
      </c>
      <c r="G1939" s="32">
        <f>G1934+G1938</f>
        <v>366576.61</v>
      </c>
      <c r="H1939" s="32">
        <f>H1934+H1938</f>
        <v>109523</v>
      </c>
    </row>
    <row r="1940" spans="1:8" s="2" customFormat="1">
      <c r="A1940" s="6"/>
      <c r="G1940" s="32"/>
      <c r="H1940" s="32"/>
    </row>
    <row r="1941" spans="1:8" s="2" customFormat="1">
      <c r="A1941" s="5" t="s">
        <v>2508</v>
      </c>
      <c r="B1941" s="2" t="s">
        <v>557</v>
      </c>
      <c r="G1941" s="32"/>
      <c r="H1941" s="32"/>
    </row>
    <row r="1942" spans="1:8" s="2" customFormat="1">
      <c r="A1942" s="5"/>
      <c r="G1942" s="32"/>
      <c r="H1942" s="32"/>
    </row>
    <row r="1943" spans="1:8" s="2" customFormat="1">
      <c r="A1943" s="6" t="s">
        <v>1352</v>
      </c>
      <c r="B1943" s="2" t="s">
        <v>1042</v>
      </c>
      <c r="C1943" s="2" t="s">
        <v>2490</v>
      </c>
      <c r="D1943" s="2">
        <v>110000</v>
      </c>
      <c r="E1943" s="2">
        <v>630210</v>
      </c>
      <c r="F1943" s="2">
        <v>610110</v>
      </c>
      <c r="G1943" s="32">
        <f>70214+1966</f>
        <v>72180</v>
      </c>
      <c r="H1943" s="32">
        <f>70214+1966</f>
        <v>72180</v>
      </c>
    </row>
    <row r="1944" spans="1:8" s="2" customFormat="1">
      <c r="A1944" s="6" t="s">
        <v>1335</v>
      </c>
      <c r="B1944" s="2" t="s">
        <v>1605</v>
      </c>
      <c r="C1944" s="2" t="s">
        <v>2490</v>
      </c>
      <c r="D1944" s="2">
        <v>110000</v>
      </c>
      <c r="E1944" s="2">
        <v>630210</v>
      </c>
      <c r="F1944" s="2">
        <v>610110</v>
      </c>
      <c r="G1944" s="32">
        <f>53312+1718</f>
        <v>55030</v>
      </c>
      <c r="H1944" s="32">
        <f>53312+1718</f>
        <v>55030</v>
      </c>
    </row>
    <row r="1945" spans="1:8" s="2" customFormat="1">
      <c r="A1945" s="6"/>
      <c r="D1945" s="2">
        <v>110000</v>
      </c>
      <c r="E1945" s="2">
        <v>630410</v>
      </c>
      <c r="F1945" s="2">
        <v>610110</v>
      </c>
      <c r="G1945" s="32">
        <f>16835+522</f>
        <v>17357</v>
      </c>
      <c r="H1945" s="32"/>
    </row>
    <row r="1946" spans="1:8" s="2" customFormat="1">
      <c r="A1946" s="6"/>
      <c r="G1946" s="32"/>
      <c r="H1946" s="32">
        <v>0</v>
      </c>
    </row>
    <row r="1947" spans="1:8" s="2" customFormat="1">
      <c r="A1947" s="6"/>
      <c r="E1947" s="2" t="s">
        <v>2880</v>
      </c>
      <c r="G1947" s="32">
        <f>SUM(G1944:G1946)</f>
        <v>72387</v>
      </c>
      <c r="H1947" s="32">
        <f>SUM(H1944:H1946)</f>
        <v>55030</v>
      </c>
    </row>
    <row r="1948" spans="1:8" s="2" customFormat="1">
      <c r="A1948" s="6" t="s">
        <v>1353</v>
      </c>
      <c r="B1948" s="2" t="s">
        <v>1043</v>
      </c>
      <c r="C1948" s="2" t="s">
        <v>148</v>
      </c>
      <c r="D1948" s="2">
        <v>110000</v>
      </c>
      <c r="E1948" s="2">
        <v>630210</v>
      </c>
      <c r="F1948" s="2">
        <v>610110</v>
      </c>
      <c r="G1948" s="32">
        <f>17738+266</f>
        <v>18004</v>
      </c>
      <c r="H1948" s="32">
        <f>17738+266</f>
        <v>18004</v>
      </c>
    </row>
    <row r="1949" spans="1:8" s="2" customFormat="1">
      <c r="A1949" s="6"/>
      <c r="G1949" s="32">
        <f>21806+327</f>
        <v>22133</v>
      </c>
      <c r="H1949" s="32"/>
    </row>
    <row r="1950" spans="1:8" s="2" customFormat="1">
      <c r="A1950" s="6"/>
      <c r="E1950" s="2" t="s">
        <v>2880</v>
      </c>
      <c r="G1950" s="32">
        <f>SUM(G1948:G1949)</f>
        <v>40137</v>
      </c>
      <c r="H1950" s="32">
        <f>SUM(H1948:H1949)</f>
        <v>18004</v>
      </c>
    </row>
    <row r="1951" spans="1:8" s="2" customFormat="1">
      <c r="A1951" s="6" t="s">
        <v>1354</v>
      </c>
      <c r="B1951" s="2" t="s">
        <v>1044</v>
      </c>
      <c r="C1951" s="2" t="s">
        <v>1507</v>
      </c>
      <c r="D1951" s="2">
        <v>110000</v>
      </c>
      <c r="E1951" s="2">
        <v>630210</v>
      </c>
      <c r="F1951" s="2">
        <v>610110</v>
      </c>
      <c r="G1951" s="32">
        <f>18269+1000+540+347</f>
        <v>20156</v>
      </c>
      <c r="H1951" s="32">
        <f>18269+1000+540+347</f>
        <v>20156</v>
      </c>
    </row>
    <row r="1952" spans="1:8" s="2" customFormat="1">
      <c r="A1952" s="6"/>
      <c r="G1952" s="32">
        <f>36878+1806</f>
        <v>38684</v>
      </c>
      <c r="H1952" s="32"/>
    </row>
    <row r="1953" spans="1:8" s="2" customFormat="1">
      <c r="A1953" s="6"/>
      <c r="E1953" s="2" t="s">
        <v>2880</v>
      </c>
      <c r="G1953" s="32">
        <f>G1951+G1952</f>
        <v>58840</v>
      </c>
      <c r="H1953" s="32">
        <f>H1951+H1952</f>
        <v>20156</v>
      </c>
    </row>
    <row r="1954" spans="1:8" s="2" customFormat="1">
      <c r="A1954" s="6" t="s">
        <v>1355</v>
      </c>
      <c r="B1954" s="2" t="s">
        <v>1045</v>
      </c>
      <c r="C1954" s="2" t="s">
        <v>1507</v>
      </c>
      <c r="D1954" s="2">
        <v>110000</v>
      </c>
      <c r="E1954" s="2">
        <v>630210</v>
      </c>
      <c r="F1954" s="2">
        <v>610110</v>
      </c>
      <c r="G1954" s="32">
        <f>11779+1000+256</f>
        <v>13035</v>
      </c>
      <c r="H1954" s="32">
        <f>11779+1000+256</f>
        <v>13035</v>
      </c>
    </row>
    <row r="1955" spans="1:8" s="2" customFormat="1">
      <c r="A1955" s="6"/>
      <c r="G1955" s="32">
        <f>27254+545</f>
        <v>27799</v>
      </c>
      <c r="H1955" s="32">
        <v>0</v>
      </c>
    </row>
    <row r="1956" spans="1:8" s="2" customFormat="1">
      <c r="A1956" s="6"/>
      <c r="E1956" s="2" t="s">
        <v>2880</v>
      </c>
      <c r="G1956" s="32">
        <f>SUM(G1954:G1955)</f>
        <v>40834</v>
      </c>
      <c r="H1956" s="32">
        <f>SUM(H1954:H1955)</f>
        <v>13035</v>
      </c>
    </row>
    <row r="1957" spans="1:8" s="2" customFormat="1">
      <c r="A1957" s="6" t="s">
        <v>1356</v>
      </c>
      <c r="B1957" s="2" t="s">
        <v>1046</v>
      </c>
      <c r="C1957" s="2" t="s">
        <v>2170</v>
      </c>
      <c r="G1957" s="32">
        <v>30781</v>
      </c>
      <c r="H1957" s="32"/>
    </row>
    <row r="1958" spans="1:8" s="2" customFormat="1">
      <c r="A1958" s="6" t="s">
        <v>1357</v>
      </c>
      <c r="B1958" s="2" t="s">
        <v>1047</v>
      </c>
      <c r="C1958" s="2" t="s">
        <v>2941</v>
      </c>
      <c r="D1958" s="2">
        <v>110000</v>
      </c>
      <c r="E1958" s="2">
        <v>630210</v>
      </c>
      <c r="F1958" s="2">
        <v>610410</v>
      </c>
      <c r="G1958" s="32">
        <f>17225+482</f>
        <v>17707</v>
      </c>
      <c r="H1958" s="32">
        <f>17225+482</f>
        <v>17707</v>
      </c>
    </row>
    <row r="1959" spans="1:8" s="2" customFormat="1">
      <c r="A1959" s="6"/>
      <c r="G1959" s="32">
        <v>699</v>
      </c>
      <c r="H1959" s="32">
        <v>0</v>
      </c>
    </row>
    <row r="1960" spans="1:8" s="2" customFormat="1">
      <c r="A1960" s="6"/>
      <c r="E1960" s="2" t="s">
        <v>2880</v>
      </c>
      <c r="G1960" s="32">
        <f>SUM(G1958:G1959)</f>
        <v>18406</v>
      </c>
      <c r="H1960" s="32">
        <f>SUM(H1958:H1959)</f>
        <v>17707</v>
      </c>
    </row>
    <row r="1961" spans="1:8" s="2" customFormat="1">
      <c r="A1961" s="6" t="s">
        <v>917</v>
      </c>
      <c r="B1961" s="2" t="s">
        <v>1049</v>
      </c>
      <c r="C1961" s="2" t="s">
        <v>2884</v>
      </c>
      <c r="G1961" s="32">
        <v>30780</v>
      </c>
      <c r="H1961" s="32"/>
    </row>
    <row r="1962" spans="1:8" s="2" customFormat="1">
      <c r="A1962" s="6"/>
      <c r="C1962" s="2" t="s">
        <v>1611</v>
      </c>
      <c r="D1962" s="2">
        <v>110000</v>
      </c>
      <c r="E1962" s="2">
        <v>630210</v>
      </c>
      <c r="F1962" s="2">
        <v>620000</v>
      </c>
      <c r="G1962" s="32"/>
      <c r="H1962" s="32"/>
    </row>
    <row r="1963" spans="1:8" s="2" customFormat="1">
      <c r="A1963" s="6"/>
      <c r="C1963" s="2" t="s">
        <v>2950</v>
      </c>
      <c r="D1963" s="2">
        <v>110000</v>
      </c>
      <c r="E1963" s="2">
        <v>630210</v>
      </c>
      <c r="F1963" s="2">
        <v>610000</v>
      </c>
      <c r="G1963" s="36"/>
      <c r="H1963" s="36"/>
    </row>
    <row r="1964" spans="1:8" s="2" customFormat="1">
      <c r="A1964" s="6"/>
      <c r="C1964" s="2" t="s">
        <v>2951</v>
      </c>
      <c r="D1964" s="2">
        <v>110000</v>
      </c>
      <c r="E1964" s="2">
        <v>630210</v>
      </c>
      <c r="F1964" s="2">
        <v>630000</v>
      </c>
      <c r="G1964" s="32">
        <f>(SUM(G1943:G1963)-G1947-G1950-G1953-G1956-G1960)*0.2</f>
        <v>72869</v>
      </c>
      <c r="H1964" s="32">
        <f>(SUM(H1943:H1963)-H1947-H1950-H1953-H1956-H1960)*0.2</f>
        <v>39222.400000000001</v>
      </c>
    </row>
    <row r="1965" spans="1:8" s="2" customFormat="1">
      <c r="A1965" s="6"/>
      <c r="C1965" s="8" t="s">
        <v>1129</v>
      </c>
      <c r="G1965" s="32">
        <f>SUM(G1943:G1964)-G1947-G1950-G1953-G1956-G1960</f>
        <v>437214</v>
      </c>
      <c r="H1965" s="32">
        <f>SUM(H1943:H1964)-H1947-H1950-H1953-H1956-H1960</f>
        <v>235334.40000000002</v>
      </c>
    </row>
    <row r="1966" spans="1:8" s="2" customFormat="1">
      <c r="A1966" s="6"/>
      <c r="C1966" s="2" t="s">
        <v>2234</v>
      </c>
      <c r="D1966" s="2">
        <v>110000</v>
      </c>
      <c r="E1966" s="2">
        <v>630210</v>
      </c>
      <c r="F1966" s="2">
        <v>710000</v>
      </c>
      <c r="G1966" s="32">
        <v>6298</v>
      </c>
      <c r="H1966" s="32">
        <v>6298</v>
      </c>
    </row>
    <row r="1967" spans="1:8" s="2" customFormat="1">
      <c r="A1967" s="6"/>
      <c r="C1967" s="8" t="s">
        <v>2235</v>
      </c>
      <c r="G1967" s="32">
        <f>G1965+G1966</f>
        <v>443512</v>
      </c>
      <c r="H1967" s="32">
        <f>H1965+H1966</f>
        <v>241632.40000000002</v>
      </c>
    </row>
    <row r="1968" spans="1:8" s="2" customFormat="1">
      <c r="A1968" s="6"/>
      <c r="G1968" s="32"/>
      <c r="H1968" s="32"/>
    </row>
    <row r="1969" spans="1:8" s="2" customFormat="1">
      <c r="A1969" s="5" t="s">
        <v>2508</v>
      </c>
      <c r="B1969" s="2" t="s">
        <v>2418</v>
      </c>
      <c r="G1969" s="32"/>
      <c r="H1969" s="32"/>
    </row>
    <row r="1970" spans="1:8" s="2" customFormat="1">
      <c r="A1970" s="5"/>
      <c r="G1970" s="32"/>
      <c r="H1970" s="32"/>
    </row>
    <row r="1971" spans="1:8" s="2" customFormat="1">
      <c r="A1971" s="6" t="s">
        <v>1358</v>
      </c>
      <c r="B1971" s="2" t="s">
        <v>2419</v>
      </c>
      <c r="C1971" s="2" t="s">
        <v>1029</v>
      </c>
      <c r="D1971" s="2">
        <v>110000</v>
      </c>
      <c r="E1971" s="2">
        <v>630210</v>
      </c>
      <c r="F1971" s="2">
        <v>610110</v>
      </c>
      <c r="G1971" s="32">
        <f>54320+1500+1663</f>
        <v>57483</v>
      </c>
      <c r="H1971" s="32">
        <f>54320+1500+1663</f>
        <v>57483</v>
      </c>
    </row>
    <row r="1972" spans="1:8" s="2" customFormat="1">
      <c r="A1972" s="6" t="s">
        <v>1359</v>
      </c>
      <c r="B1972" s="2" t="s">
        <v>2420</v>
      </c>
      <c r="C1972" s="2" t="s">
        <v>2490</v>
      </c>
      <c r="D1972" s="2">
        <v>110000</v>
      </c>
      <c r="E1972" s="2">
        <v>630210</v>
      </c>
      <c r="F1972" s="2">
        <v>610110</v>
      </c>
      <c r="G1972" s="32">
        <f>61778+1544</f>
        <v>63322</v>
      </c>
      <c r="H1972" s="32">
        <f>61778+1544</f>
        <v>63322</v>
      </c>
    </row>
    <row r="1973" spans="1:8" s="2" customFormat="1">
      <c r="A1973" s="6" t="s">
        <v>1360</v>
      </c>
      <c r="B1973" s="2" t="s">
        <v>2421</v>
      </c>
      <c r="C1973" s="2" t="s">
        <v>148</v>
      </c>
      <c r="D1973" s="2">
        <v>110000</v>
      </c>
      <c r="E1973" s="2">
        <v>630210</v>
      </c>
      <c r="F1973" s="2">
        <v>610110</v>
      </c>
      <c r="G1973" s="32">
        <f>41778+1272</f>
        <v>43050</v>
      </c>
      <c r="H1973" s="32">
        <f>41778+1272</f>
        <v>43050</v>
      </c>
    </row>
    <row r="1974" spans="1:8" s="2" customFormat="1">
      <c r="A1974" s="6" t="s">
        <v>1361</v>
      </c>
      <c r="B1974" s="2" t="s">
        <v>2422</v>
      </c>
      <c r="C1974" s="2" t="s">
        <v>148</v>
      </c>
      <c r="D1974" s="2">
        <v>110000</v>
      </c>
      <c r="E1974" s="2">
        <v>630210</v>
      </c>
      <c r="F1974" s="2">
        <v>610110</v>
      </c>
      <c r="G1974" s="32">
        <f>41590+1248</f>
        <v>42838</v>
      </c>
      <c r="H1974" s="32">
        <f>41590+1248</f>
        <v>42838</v>
      </c>
    </row>
    <row r="1975" spans="1:8" s="2" customFormat="1">
      <c r="A1975" s="6" t="s">
        <v>1362</v>
      </c>
      <c r="B1975" s="2" t="s">
        <v>2423</v>
      </c>
      <c r="C1975" s="2" t="s">
        <v>2106</v>
      </c>
      <c r="D1975" s="2">
        <v>110000</v>
      </c>
      <c r="E1975" s="2">
        <v>630210</v>
      </c>
      <c r="F1975" s="2">
        <v>610110</v>
      </c>
      <c r="G1975" s="32">
        <f>27867+1020</f>
        <v>28887</v>
      </c>
      <c r="H1975" s="32">
        <f>27867+1020</f>
        <v>28887</v>
      </c>
    </row>
    <row r="1976" spans="1:8" s="2" customFormat="1">
      <c r="A1976" s="6" t="s">
        <v>1363</v>
      </c>
      <c r="B1976" s="2" t="s">
        <v>2424</v>
      </c>
      <c r="C1976" s="2" t="s">
        <v>2106</v>
      </c>
      <c r="D1976" s="2">
        <v>211242</v>
      </c>
      <c r="E1976" s="2">
        <v>630510</v>
      </c>
      <c r="F1976" s="2">
        <v>610110</v>
      </c>
      <c r="G1976" s="32">
        <v>26315</v>
      </c>
      <c r="H1976" s="32">
        <v>0</v>
      </c>
    </row>
    <row r="1977" spans="1:8" s="2" customFormat="1">
      <c r="A1977" s="6" t="s">
        <v>1364</v>
      </c>
      <c r="C1977" s="2" t="s">
        <v>2106</v>
      </c>
      <c r="G1977" s="32">
        <v>28697</v>
      </c>
      <c r="H1977" s="32">
        <v>0</v>
      </c>
    </row>
    <row r="1978" spans="1:8" s="2" customFormat="1">
      <c r="A1978" s="6" t="s">
        <v>1365</v>
      </c>
      <c r="B1978" s="2" t="s">
        <v>575</v>
      </c>
      <c r="C1978" s="2" t="s">
        <v>2106</v>
      </c>
      <c r="D1978" s="2">
        <v>211242</v>
      </c>
      <c r="E1978" s="2">
        <v>630510</v>
      </c>
      <c r="F1978" s="2">
        <v>610110</v>
      </c>
      <c r="G1978" s="32">
        <v>26315</v>
      </c>
      <c r="H1978" s="32">
        <v>0</v>
      </c>
    </row>
    <row r="1979" spans="1:8" s="2" customFormat="1">
      <c r="A1979" s="6" t="s">
        <v>1366</v>
      </c>
      <c r="B1979" s="2" t="s">
        <v>576</v>
      </c>
      <c r="C1979" s="2" t="s">
        <v>1031</v>
      </c>
      <c r="G1979" s="32">
        <v>33708</v>
      </c>
      <c r="H1979" s="32">
        <v>0</v>
      </c>
    </row>
    <row r="1980" spans="1:8" s="2" customFormat="1">
      <c r="A1980" s="6" t="s">
        <v>1367</v>
      </c>
      <c r="B1980" s="2" t="s">
        <v>577</v>
      </c>
      <c r="C1980" s="2" t="s">
        <v>1609</v>
      </c>
      <c r="D1980" s="2">
        <v>211362</v>
      </c>
      <c r="E1980" s="2">
        <v>630510</v>
      </c>
      <c r="F1980" s="2">
        <v>610410</v>
      </c>
      <c r="G1980" s="32">
        <v>7899</v>
      </c>
      <c r="H1980" s="32">
        <v>0</v>
      </c>
    </row>
    <row r="1981" spans="1:8" s="2" customFormat="1">
      <c r="A1981" s="6"/>
      <c r="D1981" s="2">
        <v>211242</v>
      </c>
      <c r="E1981" s="2">
        <v>630510</v>
      </c>
      <c r="F1981" s="2">
        <v>610410</v>
      </c>
      <c r="G1981" s="32">
        <v>7899</v>
      </c>
      <c r="H1981" s="32">
        <v>0</v>
      </c>
    </row>
    <row r="1982" spans="1:8" s="2" customFormat="1">
      <c r="A1982" s="6"/>
      <c r="E1982" s="2" t="s">
        <v>2880</v>
      </c>
      <c r="G1982" s="32">
        <f>G1980+G1981</f>
        <v>15798</v>
      </c>
      <c r="H1982" s="32">
        <v>0</v>
      </c>
    </row>
    <row r="1983" spans="1:8" s="2" customFormat="1">
      <c r="A1983" s="6" t="s">
        <v>1368</v>
      </c>
      <c r="B1983" s="2" t="s">
        <v>2921</v>
      </c>
      <c r="C1983" s="2" t="s">
        <v>1609</v>
      </c>
      <c r="D1983" s="2">
        <v>110000</v>
      </c>
      <c r="E1983" s="2">
        <v>630210</v>
      </c>
      <c r="F1983" s="2">
        <v>610410</v>
      </c>
      <c r="G1983" s="32">
        <f>17998+504</f>
        <v>18502</v>
      </c>
      <c r="H1983" s="32">
        <f>17998+504</f>
        <v>18502</v>
      </c>
    </row>
    <row r="1984" spans="1:8" s="2" customFormat="1">
      <c r="A1984" s="6"/>
      <c r="C1984" s="2" t="s">
        <v>1611</v>
      </c>
      <c r="D1984" s="2">
        <v>110000</v>
      </c>
      <c r="E1984" s="2">
        <v>630210</v>
      </c>
      <c r="F1984" s="2">
        <v>620000</v>
      </c>
      <c r="G1984" s="32"/>
      <c r="H1984" s="32"/>
    </row>
    <row r="1985" spans="1:8" s="2" customFormat="1">
      <c r="A1985" s="6"/>
      <c r="C1985" s="2" t="s">
        <v>2950</v>
      </c>
      <c r="D1985" s="2">
        <v>110000</v>
      </c>
      <c r="E1985" s="2">
        <v>630210</v>
      </c>
      <c r="F1985" s="2">
        <v>610000</v>
      </c>
      <c r="G1985" s="36"/>
      <c r="H1985" s="36"/>
    </row>
    <row r="1986" spans="1:8" s="2" customFormat="1">
      <c r="A1986" s="5"/>
      <c r="C1986" s="2" t="s">
        <v>2951</v>
      </c>
      <c r="D1986" s="2">
        <v>110000</v>
      </c>
      <c r="E1986" s="2">
        <v>630210</v>
      </c>
      <c r="F1986" s="2">
        <v>630000</v>
      </c>
      <c r="G1986" s="32">
        <f>(SUM(G1971:G1985)-G1982)*0.2</f>
        <v>76983</v>
      </c>
      <c r="H1986" s="32">
        <f>(SUM(H1971:H1985)-H1982)*0.2</f>
        <v>50816.4</v>
      </c>
    </row>
    <row r="1987" spans="1:8" s="2" customFormat="1">
      <c r="A1987" s="5"/>
      <c r="C1987" s="8" t="s">
        <v>1129</v>
      </c>
      <c r="G1987" s="32">
        <f>SUM(G1971:G1986)-G1982</f>
        <v>461898</v>
      </c>
      <c r="H1987" s="32">
        <f>SUM(H1971:H1986)-H1982</f>
        <v>304898.40000000002</v>
      </c>
    </row>
    <row r="1988" spans="1:8" s="2" customFormat="1">
      <c r="A1988" s="5"/>
      <c r="C1988" s="2" t="s">
        <v>2234</v>
      </c>
      <c r="D1988" s="2">
        <v>110000</v>
      </c>
      <c r="E1988" s="2">
        <v>630210</v>
      </c>
      <c r="F1988" s="2">
        <v>710000</v>
      </c>
      <c r="G1988" s="32">
        <v>7126</v>
      </c>
      <c r="H1988" s="32">
        <v>7126</v>
      </c>
    </row>
    <row r="1989" spans="1:8" s="2" customFormat="1">
      <c r="A1989" s="5"/>
      <c r="C1989" s="8" t="s">
        <v>2235</v>
      </c>
      <c r="G1989" s="32">
        <f>G1987+G1988</f>
        <v>469024</v>
      </c>
      <c r="H1989" s="32">
        <f>H1987+H1988</f>
        <v>312024.40000000002</v>
      </c>
    </row>
    <row r="1990" spans="1:8" s="2" customFormat="1">
      <c r="A1990" s="6"/>
      <c r="G1990" s="32"/>
      <c r="H1990" s="32"/>
    </row>
    <row r="1991" spans="1:8" s="2" customFormat="1">
      <c r="A1991" s="5" t="s">
        <v>2509</v>
      </c>
      <c r="B1991" s="2" t="s">
        <v>579</v>
      </c>
      <c r="G1991" s="32"/>
      <c r="H1991" s="32"/>
    </row>
    <row r="1992" spans="1:8" s="2" customFormat="1">
      <c r="A1992" s="5"/>
      <c r="G1992" s="32"/>
      <c r="H1992" s="32"/>
    </row>
    <row r="1993" spans="1:8" s="2" customFormat="1">
      <c r="A1993" s="5"/>
      <c r="C1993" s="2" t="s">
        <v>580</v>
      </c>
      <c r="D1993" s="2">
        <v>110000</v>
      </c>
      <c r="E1993" s="2">
        <v>630211</v>
      </c>
      <c r="F1993" s="2">
        <v>610300</v>
      </c>
      <c r="G1993" s="32">
        <v>3300</v>
      </c>
      <c r="H1993" s="32">
        <v>3300</v>
      </c>
    </row>
    <row r="1994" spans="1:8" s="2" customFormat="1">
      <c r="A1994" s="5"/>
      <c r="C1994" s="2" t="s">
        <v>581</v>
      </c>
      <c r="D1994" s="2">
        <v>110000</v>
      </c>
      <c r="E1994" s="2">
        <v>630211</v>
      </c>
      <c r="F1994" s="2">
        <v>620000</v>
      </c>
      <c r="G1994" s="32">
        <v>2000</v>
      </c>
      <c r="H1994" s="32">
        <v>2000</v>
      </c>
    </row>
    <row r="1995" spans="1:8" s="2" customFormat="1">
      <c r="A1995" s="5"/>
      <c r="C1995" s="2" t="s">
        <v>2951</v>
      </c>
      <c r="D1995" s="2">
        <v>110000</v>
      </c>
      <c r="E1995" s="2">
        <v>630211</v>
      </c>
      <c r="F1995" s="2">
        <v>630000</v>
      </c>
      <c r="G1995" s="32">
        <f>(G1993+G1994)*0.08</f>
        <v>424</v>
      </c>
      <c r="H1995" s="32">
        <f>(H1993+H1994)*0.08</f>
        <v>424</v>
      </c>
    </row>
    <row r="1996" spans="1:8" s="2" customFormat="1">
      <c r="A1996" s="5"/>
      <c r="C1996" s="8" t="s">
        <v>1129</v>
      </c>
      <c r="G1996" s="32">
        <f>SUM(G1993:G1995)</f>
        <v>5724</v>
      </c>
      <c r="H1996" s="32">
        <f>SUM(H1993:H1995)</f>
        <v>5724</v>
      </c>
    </row>
    <row r="1997" spans="1:8" s="2" customFormat="1">
      <c r="A1997" s="5"/>
      <c r="C1997" s="2" t="s">
        <v>2234</v>
      </c>
      <c r="D1997" s="2">
        <v>110000</v>
      </c>
      <c r="E1997" s="2">
        <v>630211</v>
      </c>
      <c r="F1997" s="2">
        <v>710000</v>
      </c>
      <c r="G1997" s="32">
        <v>4702</v>
      </c>
      <c r="H1997" s="32">
        <v>4702</v>
      </c>
    </row>
    <row r="1998" spans="1:8" s="2" customFormat="1">
      <c r="A1998" s="5"/>
      <c r="C1998" s="8" t="s">
        <v>2235</v>
      </c>
      <c r="G1998" s="32">
        <f>SUM(G1996:G1997)</f>
        <v>10426</v>
      </c>
      <c r="H1998" s="32">
        <f>SUM(H1996:H1997)</f>
        <v>10426</v>
      </c>
    </row>
    <row r="1999" spans="1:8" s="2" customFormat="1">
      <c r="A1999" s="5"/>
      <c r="G1999" s="32"/>
      <c r="H1999" s="32"/>
    </row>
    <row r="2000" spans="1:8" s="2" customFormat="1">
      <c r="A2000" s="5" t="s">
        <v>768</v>
      </c>
      <c r="B2000" s="2" t="s">
        <v>963</v>
      </c>
      <c r="G2000" s="32"/>
      <c r="H2000" s="32"/>
    </row>
    <row r="2001" spans="1:8" s="2" customFormat="1">
      <c r="A2001" s="5"/>
      <c r="G2001" s="32"/>
      <c r="H2001" s="32"/>
    </row>
    <row r="2002" spans="1:8" s="2" customFormat="1">
      <c r="A2002" s="6"/>
      <c r="C2002" s="2" t="s">
        <v>1611</v>
      </c>
      <c r="D2002" s="2">
        <v>110000</v>
      </c>
      <c r="E2002" s="2">
        <v>630311</v>
      </c>
      <c r="F2002" s="2">
        <v>620000</v>
      </c>
      <c r="G2002" s="32">
        <v>5000</v>
      </c>
      <c r="H2002" s="32">
        <v>5000</v>
      </c>
    </row>
    <row r="2003" spans="1:8" s="2" customFormat="1">
      <c r="A2003" s="6"/>
      <c r="C2003" s="2" t="s">
        <v>2950</v>
      </c>
      <c r="D2003" s="2">
        <v>110000</v>
      </c>
      <c r="E2003" s="2">
        <v>630311</v>
      </c>
      <c r="F2003" s="2">
        <v>610000</v>
      </c>
      <c r="G2003" s="32"/>
      <c r="H2003" s="32"/>
    </row>
    <row r="2004" spans="1:8" s="2" customFormat="1">
      <c r="A2004" s="5"/>
      <c r="C2004" s="2" t="s">
        <v>2951</v>
      </c>
      <c r="D2004" s="2">
        <v>110000</v>
      </c>
      <c r="E2004" s="2">
        <v>630311</v>
      </c>
      <c r="F2004" s="2">
        <v>630000</v>
      </c>
      <c r="G2004" s="32">
        <f>G2002*0.08</f>
        <v>400</v>
      </c>
      <c r="H2004" s="32">
        <f>H2002*0.08</f>
        <v>400</v>
      </c>
    </row>
    <row r="2005" spans="1:8" s="2" customFormat="1">
      <c r="A2005" s="5"/>
      <c r="C2005" s="8" t="s">
        <v>1129</v>
      </c>
      <c r="G2005" s="32">
        <f>SUM(G2002:G2004)</f>
        <v>5400</v>
      </c>
      <c r="H2005" s="32">
        <f>SUM(H2002:H2004)</f>
        <v>5400</v>
      </c>
    </row>
    <row r="2006" spans="1:8" s="2" customFormat="1">
      <c r="A2006" s="5"/>
      <c r="C2006" s="2" t="s">
        <v>2234</v>
      </c>
      <c r="D2006" s="2">
        <v>110000</v>
      </c>
      <c r="E2006" s="2">
        <v>630311</v>
      </c>
      <c r="F2006" s="2">
        <v>710000</v>
      </c>
      <c r="G2006" s="32">
        <v>7449</v>
      </c>
      <c r="H2006" s="32">
        <v>7449</v>
      </c>
    </row>
    <row r="2007" spans="1:8" s="2" customFormat="1">
      <c r="A2007" s="5"/>
      <c r="C2007" s="8" t="s">
        <v>2235</v>
      </c>
      <c r="G2007" s="32">
        <f>G2005+G2006</f>
        <v>12849</v>
      </c>
      <c r="H2007" s="32">
        <f>H2005+H2006</f>
        <v>12849</v>
      </c>
    </row>
    <row r="2008" spans="1:8" s="2" customFormat="1">
      <c r="A2008" s="6"/>
      <c r="G2008" s="32"/>
      <c r="H2008" s="32"/>
    </row>
    <row r="2009" spans="1:8" s="2" customFormat="1">
      <c r="A2009" s="5" t="s">
        <v>2510</v>
      </c>
      <c r="B2009" s="2" t="s">
        <v>964</v>
      </c>
      <c r="G2009" s="32"/>
      <c r="H2009" s="32"/>
    </row>
    <row r="2010" spans="1:8" s="2" customFormat="1">
      <c r="A2010" s="5"/>
      <c r="G2010" s="32"/>
      <c r="H2010" s="32"/>
    </row>
    <row r="2011" spans="1:8" s="2" customFormat="1">
      <c r="A2011" s="6" t="s">
        <v>1333</v>
      </c>
      <c r="B2011" s="2" t="s">
        <v>965</v>
      </c>
      <c r="C2011" s="2" t="s">
        <v>1029</v>
      </c>
      <c r="D2011" s="2">
        <v>110000</v>
      </c>
      <c r="E2011" s="2">
        <v>630410</v>
      </c>
      <c r="F2011" s="2">
        <v>610110</v>
      </c>
      <c r="G2011" s="32">
        <f>74075+2000</f>
        <v>76075</v>
      </c>
      <c r="H2011" s="32">
        <f>74075+2000</f>
        <v>76075</v>
      </c>
    </row>
    <row r="2012" spans="1:8" s="2" customFormat="1">
      <c r="A2012" s="6" t="s">
        <v>1334</v>
      </c>
      <c r="B2012" s="2" t="s">
        <v>1603</v>
      </c>
      <c r="C2012" s="2" t="s">
        <v>1604</v>
      </c>
      <c r="D2012" s="2">
        <v>110000</v>
      </c>
      <c r="E2012" s="2">
        <v>630410</v>
      </c>
      <c r="F2012" s="2">
        <v>610110</v>
      </c>
      <c r="G2012" s="32">
        <f>88310+2473</f>
        <v>90783</v>
      </c>
      <c r="H2012" s="32">
        <f>88310+2473</f>
        <v>90783</v>
      </c>
    </row>
    <row r="2013" spans="1:8" s="2" customFormat="1">
      <c r="A2013" s="6" t="s">
        <v>1335</v>
      </c>
      <c r="B2013" s="2" t="s">
        <v>1605</v>
      </c>
      <c r="C2013" s="2" t="s">
        <v>2490</v>
      </c>
      <c r="D2013" s="2">
        <v>110000</v>
      </c>
      <c r="E2013" s="2">
        <v>630410</v>
      </c>
      <c r="F2013" s="2">
        <v>610110</v>
      </c>
      <c r="G2013" s="32">
        <f>16835+522</f>
        <v>17357</v>
      </c>
      <c r="H2013" s="32">
        <f>16835+522</f>
        <v>17357</v>
      </c>
    </row>
    <row r="2014" spans="1:8" s="2" customFormat="1">
      <c r="A2014" s="6"/>
      <c r="D2014" s="2">
        <v>110000</v>
      </c>
      <c r="E2014" s="2">
        <v>630210</v>
      </c>
      <c r="F2014" s="2">
        <v>610110</v>
      </c>
      <c r="G2014" s="32">
        <f>53312+1718</f>
        <v>55030</v>
      </c>
      <c r="H2014" s="32">
        <v>0</v>
      </c>
    </row>
    <row r="2015" spans="1:8" s="2" customFormat="1">
      <c r="A2015" s="6"/>
      <c r="E2015" s="2" t="s">
        <v>2880</v>
      </c>
      <c r="G2015" s="32">
        <f>SUM(G2013:G2014)</f>
        <v>72387</v>
      </c>
      <c r="H2015" s="32">
        <f>SUM(H2013:H2014)</f>
        <v>17357</v>
      </c>
    </row>
    <row r="2016" spans="1:8" s="2" customFormat="1">
      <c r="A2016" s="6" t="s">
        <v>1336</v>
      </c>
      <c r="B2016" s="2" t="s">
        <v>1606</v>
      </c>
      <c r="C2016" s="2" t="s">
        <v>2490</v>
      </c>
      <c r="D2016" s="2">
        <v>110000</v>
      </c>
      <c r="E2016" s="2">
        <v>630410</v>
      </c>
      <c r="F2016" s="2">
        <v>610110</v>
      </c>
      <c r="G2016" s="32">
        <f>43699+1384</f>
        <v>45083</v>
      </c>
      <c r="H2016" s="32">
        <f>43699+1384</f>
        <v>45083</v>
      </c>
    </row>
    <row r="2017" spans="1:8" s="2" customFormat="1">
      <c r="A2017" s="6" t="s">
        <v>1337</v>
      </c>
      <c r="B2017" s="2" t="s">
        <v>1607</v>
      </c>
      <c r="C2017" s="2" t="s">
        <v>2490</v>
      </c>
      <c r="D2017" s="2">
        <v>110000</v>
      </c>
      <c r="E2017" s="2">
        <v>630410</v>
      </c>
      <c r="F2017" s="2">
        <v>610110</v>
      </c>
      <c r="G2017" s="32">
        <f>45051+1261</f>
        <v>46312</v>
      </c>
      <c r="H2017" s="32">
        <f>45051+1261</f>
        <v>46312</v>
      </c>
    </row>
    <row r="2018" spans="1:8" s="2" customFormat="1">
      <c r="A2018" s="6" t="s">
        <v>1338</v>
      </c>
      <c r="B2018" s="2" t="s">
        <v>969</v>
      </c>
      <c r="C2018" s="2" t="s">
        <v>2490</v>
      </c>
      <c r="D2018" s="2">
        <v>110000</v>
      </c>
      <c r="E2018" s="2">
        <v>630410</v>
      </c>
      <c r="F2018" s="2">
        <v>610110</v>
      </c>
      <c r="G2018" s="32">
        <f>42749+1500+1359</f>
        <v>45608</v>
      </c>
      <c r="H2018" s="32">
        <f>42749+1500+1359</f>
        <v>45608</v>
      </c>
    </row>
    <row r="2019" spans="1:8" s="2" customFormat="1">
      <c r="A2019" s="6" t="s">
        <v>1339</v>
      </c>
      <c r="B2019" s="2" t="s">
        <v>2786</v>
      </c>
      <c r="C2019" s="2" t="s">
        <v>148</v>
      </c>
      <c r="D2019" s="2">
        <v>110000</v>
      </c>
      <c r="E2019" s="2">
        <v>630410</v>
      </c>
      <c r="F2019" s="2">
        <v>610110</v>
      </c>
      <c r="G2019" s="32">
        <f>35000+980</f>
        <v>35980</v>
      </c>
      <c r="H2019" s="32">
        <f>35000+980</f>
        <v>35980</v>
      </c>
    </row>
    <row r="2020" spans="1:8" s="2" customFormat="1">
      <c r="A2020" s="6" t="s">
        <v>1340</v>
      </c>
      <c r="B2020" s="2" t="s">
        <v>1621</v>
      </c>
      <c r="C2020" s="2" t="s">
        <v>2490</v>
      </c>
      <c r="D2020" s="2">
        <v>110000</v>
      </c>
      <c r="E2020" s="2">
        <v>630410</v>
      </c>
      <c r="F2020" s="2">
        <v>610110</v>
      </c>
      <c r="G2020" s="32">
        <f>42930+1500+1334</f>
        <v>45764</v>
      </c>
      <c r="H2020" s="32">
        <f>42930+1500+1334</f>
        <v>45764</v>
      </c>
    </row>
    <row r="2021" spans="1:8" s="2" customFormat="1">
      <c r="A2021" s="6" t="s">
        <v>1341</v>
      </c>
      <c r="B2021" s="2" t="s">
        <v>1622</v>
      </c>
      <c r="C2021" s="2" t="s">
        <v>544</v>
      </c>
      <c r="D2021" s="2">
        <v>110000</v>
      </c>
      <c r="E2021" s="2">
        <v>630410</v>
      </c>
      <c r="F2021" s="2">
        <v>610110</v>
      </c>
      <c r="G2021" s="32">
        <f>46541+1303</f>
        <v>47844</v>
      </c>
      <c r="H2021" s="32">
        <f>46541+1303</f>
        <v>47844</v>
      </c>
    </row>
    <row r="2022" spans="1:8" s="2" customFormat="1">
      <c r="A2022" s="6" t="s">
        <v>1342</v>
      </c>
      <c r="B2022" s="2" t="s">
        <v>1623</v>
      </c>
      <c r="C2022" s="2" t="s">
        <v>2490</v>
      </c>
      <c r="D2022" s="2">
        <v>110000</v>
      </c>
      <c r="E2022" s="2">
        <v>630410</v>
      </c>
      <c r="F2022" s="2">
        <v>610110</v>
      </c>
      <c r="G2022" s="32">
        <f>42815+1500+1331</f>
        <v>45646</v>
      </c>
      <c r="H2022" s="32">
        <f>42815+1500+1331</f>
        <v>45646</v>
      </c>
    </row>
    <row r="2023" spans="1:8" s="2" customFormat="1">
      <c r="A2023" s="6" t="s">
        <v>1343</v>
      </c>
      <c r="B2023" s="2" t="s">
        <v>1624</v>
      </c>
      <c r="C2023" s="2" t="s">
        <v>2490</v>
      </c>
      <c r="D2023" s="2">
        <v>110000</v>
      </c>
      <c r="E2023" s="2">
        <v>630410</v>
      </c>
      <c r="F2023" s="2">
        <v>610110</v>
      </c>
      <c r="G2023" s="32">
        <f>40407+1500+1653</f>
        <v>43560</v>
      </c>
      <c r="H2023" s="32">
        <f>40407+1500+1653</f>
        <v>43560</v>
      </c>
    </row>
    <row r="2024" spans="1:8" s="2" customFormat="1">
      <c r="A2024" s="6" t="s">
        <v>1344</v>
      </c>
      <c r="B2024" s="2" t="s">
        <v>1625</v>
      </c>
      <c r="C2024" s="2" t="s">
        <v>148</v>
      </c>
      <c r="D2024" s="2">
        <v>110000</v>
      </c>
      <c r="E2024" s="2">
        <v>630410</v>
      </c>
      <c r="F2024" s="2">
        <v>610110</v>
      </c>
      <c r="G2024" s="32">
        <f>41913+1174</f>
        <v>43087</v>
      </c>
      <c r="H2024" s="32">
        <f>41913+1174</f>
        <v>43087</v>
      </c>
    </row>
    <row r="2025" spans="1:8" s="2" customFormat="1">
      <c r="A2025" s="6" t="s">
        <v>1345</v>
      </c>
      <c r="B2025" s="2" t="s">
        <v>1626</v>
      </c>
      <c r="C2025" s="2" t="s">
        <v>148</v>
      </c>
      <c r="D2025" s="2">
        <v>110000</v>
      </c>
      <c r="E2025" s="2">
        <v>630410</v>
      </c>
      <c r="F2025" s="2">
        <v>610110</v>
      </c>
      <c r="G2025" s="32">
        <f>36843+1032</f>
        <v>37875</v>
      </c>
      <c r="H2025" s="32">
        <f>36843+1032</f>
        <v>37875</v>
      </c>
    </row>
    <row r="2026" spans="1:8" s="2" customFormat="1">
      <c r="A2026" s="6" t="s">
        <v>1346</v>
      </c>
      <c r="B2026" s="2" t="s">
        <v>1972</v>
      </c>
      <c r="C2026" s="2" t="s">
        <v>148</v>
      </c>
      <c r="D2026" s="2">
        <v>110000</v>
      </c>
      <c r="E2026" s="2">
        <v>630410</v>
      </c>
      <c r="F2026" s="2">
        <v>610110</v>
      </c>
      <c r="G2026" s="32">
        <v>35000</v>
      </c>
      <c r="H2026" s="32">
        <v>35000</v>
      </c>
    </row>
    <row r="2027" spans="1:8" s="2" customFormat="1">
      <c r="A2027" s="6" t="s">
        <v>1347</v>
      </c>
      <c r="B2027" s="2" t="s">
        <v>2785</v>
      </c>
      <c r="C2027" s="2" t="s">
        <v>1608</v>
      </c>
      <c r="D2027" s="2">
        <v>110000</v>
      </c>
      <c r="E2027" s="2">
        <v>630410</v>
      </c>
      <c r="F2027" s="2">
        <v>610210</v>
      </c>
      <c r="G2027" s="32">
        <f>20000+560</f>
        <v>20560</v>
      </c>
      <c r="H2027" s="32">
        <f>20000+560</f>
        <v>20560</v>
      </c>
    </row>
    <row r="2028" spans="1:8" s="2" customFormat="1">
      <c r="A2028" s="6" t="s">
        <v>1348</v>
      </c>
      <c r="B2028" s="2" t="s">
        <v>1627</v>
      </c>
      <c r="C2028" s="2" t="s">
        <v>1609</v>
      </c>
      <c r="D2028" s="2">
        <v>110000</v>
      </c>
      <c r="E2028" s="2">
        <v>630410</v>
      </c>
      <c r="F2028" s="2">
        <v>610410</v>
      </c>
      <c r="G2028" s="32">
        <f>16114+451</f>
        <v>16565</v>
      </c>
      <c r="H2028" s="32">
        <f>16114+451</f>
        <v>16565</v>
      </c>
    </row>
    <row r="2029" spans="1:8" s="2" customFormat="1">
      <c r="A2029" s="6" t="s">
        <v>1349</v>
      </c>
      <c r="B2029" s="2" t="s">
        <v>2994</v>
      </c>
      <c r="C2029" s="2" t="s">
        <v>1628</v>
      </c>
      <c r="D2029" s="2">
        <v>110000</v>
      </c>
      <c r="E2029" s="2">
        <v>630410</v>
      </c>
      <c r="F2029" s="2">
        <v>610410</v>
      </c>
      <c r="G2029" s="32">
        <v>14144</v>
      </c>
      <c r="H2029" s="32">
        <v>14144</v>
      </c>
    </row>
    <row r="2030" spans="1:8" s="2" customFormat="1">
      <c r="A2030" s="6" t="s">
        <v>1350</v>
      </c>
      <c r="B2030" s="2" t="s">
        <v>1139</v>
      </c>
      <c r="C2030" s="2" t="s">
        <v>148</v>
      </c>
      <c r="D2030" s="2">
        <v>110000</v>
      </c>
      <c r="E2030" s="2">
        <v>630410</v>
      </c>
      <c r="F2030" s="2">
        <v>610110</v>
      </c>
      <c r="G2030" s="32">
        <f>35000+1460</f>
        <v>36460</v>
      </c>
      <c r="H2030" s="32">
        <f>35000+1460</f>
        <v>36460</v>
      </c>
    </row>
    <row r="2031" spans="1:8" s="2" customFormat="1">
      <c r="A2031" s="6"/>
      <c r="B2031" s="2" t="s">
        <v>1973</v>
      </c>
      <c r="C2031" s="2" t="s">
        <v>2490</v>
      </c>
      <c r="D2031" s="2">
        <v>110000</v>
      </c>
      <c r="E2031" s="2">
        <v>630410</v>
      </c>
      <c r="F2031" s="2">
        <v>610110</v>
      </c>
      <c r="G2031" s="32">
        <v>57000</v>
      </c>
      <c r="H2031" s="32">
        <v>57000</v>
      </c>
    </row>
    <row r="2032" spans="1:8" s="2" customFormat="1">
      <c r="A2032" s="6" t="s">
        <v>1351</v>
      </c>
      <c r="B2032" s="2" t="s">
        <v>1140</v>
      </c>
      <c r="C2032" s="2" t="s">
        <v>2490</v>
      </c>
      <c r="D2032" s="2">
        <v>110000</v>
      </c>
      <c r="E2032" s="2">
        <v>630410</v>
      </c>
      <c r="F2032" s="2">
        <v>610110</v>
      </c>
      <c r="G2032" s="32">
        <f>55000+1540</f>
        <v>56540</v>
      </c>
      <c r="H2032" s="32">
        <f>55000+1540</f>
        <v>56540</v>
      </c>
    </row>
    <row r="2033" spans="1:8" s="2" customFormat="1">
      <c r="A2033" s="6"/>
      <c r="C2033" s="2" t="s">
        <v>1611</v>
      </c>
      <c r="D2033" s="2">
        <v>110000</v>
      </c>
      <c r="E2033" s="2">
        <v>630410</v>
      </c>
      <c r="F2033" s="2">
        <v>620000</v>
      </c>
      <c r="G2033" s="32"/>
      <c r="H2033" s="32"/>
    </row>
    <row r="2034" spans="1:8" s="2" customFormat="1">
      <c r="A2034" s="6"/>
      <c r="C2034" s="2" t="s">
        <v>2063</v>
      </c>
      <c r="D2034" s="2">
        <v>110000</v>
      </c>
      <c r="E2034" s="2">
        <v>630410</v>
      </c>
      <c r="F2034" s="2">
        <v>610110</v>
      </c>
      <c r="G2034" s="32">
        <f>18307+238+556</f>
        <v>19101</v>
      </c>
      <c r="H2034" s="32">
        <f>18307+238+556</f>
        <v>19101</v>
      </c>
    </row>
    <row r="2035" spans="1:8" s="2" customFormat="1">
      <c r="A2035" s="6"/>
      <c r="C2035" s="2" t="s">
        <v>2950</v>
      </c>
      <c r="D2035" s="2">
        <v>110000</v>
      </c>
      <c r="E2035" s="2">
        <v>630410</v>
      </c>
      <c r="F2035" s="2">
        <v>610000</v>
      </c>
      <c r="G2035" s="36"/>
      <c r="H2035" s="36"/>
    </row>
    <row r="2036" spans="1:8" s="2" customFormat="1">
      <c r="A2036" s="6"/>
      <c r="G2036" s="32"/>
      <c r="H2036" s="32"/>
    </row>
    <row r="2037" spans="1:8" s="2" customFormat="1">
      <c r="A2037" s="5" t="s">
        <v>2510</v>
      </c>
      <c r="B2037" s="2" t="s">
        <v>964</v>
      </c>
      <c r="G2037" s="32"/>
      <c r="H2037" s="32"/>
    </row>
    <row r="2038" spans="1:8" s="2" customFormat="1">
      <c r="A2038" s="6"/>
      <c r="G2038" s="32"/>
      <c r="H2038" s="32"/>
    </row>
    <row r="2039" spans="1:8" s="2" customFormat="1">
      <c r="A2039" s="5"/>
      <c r="C2039" s="2" t="s">
        <v>2951</v>
      </c>
      <c r="D2039" s="2">
        <v>110000</v>
      </c>
      <c r="E2039" s="2">
        <v>630410</v>
      </c>
      <c r="F2039" s="2">
        <v>630000</v>
      </c>
      <c r="G2039" s="32">
        <f>(SUM(G2011:G2035)-G2015)*0.2+221</f>
        <v>186495.80000000002</v>
      </c>
      <c r="H2039" s="32">
        <f>(SUM(H2011:H2035)-H2015)*0.2+221</f>
        <v>175489.80000000002</v>
      </c>
    </row>
    <row r="2040" spans="1:8" s="2" customFormat="1">
      <c r="A2040" s="5"/>
      <c r="C2040" s="8" t="s">
        <v>1129</v>
      </c>
      <c r="G2040" s="32">
        <f>SUM(G2011:G2039)-G2015</f>
        <v>1117869.8</v>
      </c>
      <c r="H2040" s="32">
        <f>SUM(H2011:H2039)-H2015</f>
        <v>1051833.8</v>
      </c>
    </row>
    <row r="2041" spans="1:8" s="2" customFormat="1">
      <c r="A2041" s="5"/>
      <c r="C2041" s="2" t="s">
        <v>2234</v>
      </c>
      <c r="D2041" s="2">
        <v>110000</v>
      </c>
      <c r="E2041" s="2">
        <v>630410</v>
      </c>
      <c r="F2041" s="2">
        <v>710000</v>
      </c>
      <c r="G2041" s="32">
        <f>31915+2000</f>
        <v>33915</v>
      </c>
      <c r="H2041" s="32">
        <f>31915+2000</f>
        <v>33915</v>
      </c>
    </row>
    <row r="2042" spans="1:8" s="2" customFormat="1">
      <c r="A2042" s="5"/>
      <c r="C2042" s="8" t="s">
        <v>2235</v>
      </c>
      <c r="G2042" s="32">
        <f>G2040+G2041</f>
        <v>1151784.8</v>
      </c>
      <c r="H2042" s="32">
        <f>H2040+H2041</f>
        <v>1085748.8</v>
      </c>
    </row>
    <row r="2043" spans="1:8" s="2" customFormat="1">
      <c r="A2043" s="5"/>
      <c r="C2043" s="8"/>
      <c r="G2043" s="32"/>
      <c r="H2043" s="32"/>
    </row>
    <row r="2044" spans="1:8" s="2" customFormat="1">
      <c r="A2044" s="5" t="s">
        <v>2511</v>
      </c>
      <c r="B2044" s="2" t="s">
        <v>556</v>
      </c>
      <c r="G2044" s="32"/>
      <c r="H2044" s="32"/>
    </row>
    <row r="2045" spans="1:8" s="2" customFormat="1">
      <c r="A2045" s="5"/>
      <c r="G2045" s="32"/>
      <c r="H2045" s="32"/>
    </row>
    <row r="2046" spans="1:8" s="2" customFormat="1">
      <c r="A2046" s="5"/>
      <c r="C2046" s="2" t="s">
        <v>2234</v>
      </c>
      <c r="D2046" s="2">
        <v>110000</v>
      </c>
      <c r="E2046" s="2">
        <v>630411</v>
      </c>
      <c r="F2046" s="2">
        <v>710000</v>
      </c>
      <c r="G2046" s="32">
        <v>3456</v>
      </c>
      <c r="H2046" s="32">
        <v>3456</v>
      </c>
    </row>
    <row r="2047" spans="1:8" s="2" customFormat="1">
      <c r="A2047" s="5"/>
      <c r="C2047" s="8" t="s">
        <v>2235</v>
      </c>
      <c r="G2047" s="32">
        <f>G2046</f>
        <v>3456</v>
      </c>
      <c r="H2047" s="32">
        <f>H2046</f>
        <v>3456</v>
      </c>
    </row>
    <row r="2048" spans="1:8" s="2" customFormat="1">
      <c r="A2048" s="5"/>
      <c r="G2048" s="32"/>
      <c r="H2048" s="32"/>
    </row>
    <row r="2049" spans="1:8" s="2" customFormat="1">
      <c r="A2049" s="5" t="s">
        <v>2512</v>
      </c>
      <c r="B2049" s="2" t="s">
        <v>450</v>
      </c>
      <c r="G2049" s="32"/>
      <c r="H2049" s="32"/>
    </row>
    <row r="2050" spans="1:8" s="2" customFormat="1">
      <c r="A2050" s="5"/>
      <c r="G2050" s="32"/>
      <c r="H2050" s="32"/>
    </row>
    <row r="2051" spans="1:8" s="2" customFormat="1">
      <c r="A2051" s="6" t="s">
        <v>1301</v>
      </c>
      <c r="B2051" s="2" t="s">
        <v>451</v>
      </c>
      <c r="C2051" s="2" t="s">
        <v>1029</v>
      </c>
      <c r="D2051" s="2">
        <v>110000</v>
      </c>
      <c r="E2051" s="2">
        <v>630510</v>
      </c>
      <c r="F2051" s="2">
        <v>610110</v>
      </c>
      <c r="G2051" s="32">
        <f>72817+2112</f>
        <v>74929</v>
      </c>
      <c r="H2051" s="32">
        <f>72817+2112</f>
        <v>74929</v>
      </c>
    </row>
    <row r="2052" spans="1:8" s="2" customFormat="1">
      <c r="A2052" s="6" t="s">
        <v>1302</v>
      </c>
      <c r="B2052" s="2" t="s">
        <v>452</v>
      </c>
      <c r="C2052" s="2" t="s">
        <v>2490</v>
      </c>
      <c r="D2052" s="2">
        <v>110000</v>
      </c>
      <c r="E2052" s="2">
        <v>630510</v>
      </c>
      <c r="F2052" s="2">
        <v>610110</v>
      </c>
      <c r="G2052" s="32">
        <f>54122+1837</f>
        <v>55959</v>
      </c>
      <c r="H2052" s="32">
        <f>54122+1837</f>
        <v>55959</v>
      </c>
    </row>
    <row r="2053" spans="1:8" s="2" customFormat="1">
      <c r="A2053" s="6" t="s">
        <v>1303</v>
      </c>
      <c r="B2053" s="2" t="s">
        <v>453</v>
      </c>
      <c r="C2053" s="2" t="s">
        <v>2490</v>
      </c>
      <c r="D2053" s="2">
        <v>110000</v>
      </c>
      <c r="E2053" s="2">
        <v>630510</v>
      </c>
      <c r="F2053" s="2">
        <v>610110</v>
      </c>
      <c r="G2053" s="32">
        <f>59127+1744</f>
        <v>60871</v>
      </c>
      <c r="H2053" s="32">
        <f>59127+1744</f>
        <v>60871</v>
      </c>
    </row>
    <row r="2054" spans="1:8" s="2" customFormat="1">
      <c r="A2054" s="6" t="s">
        <v>1304</v>
      </c>
      <c r="B2054" s="2" t="s">
        <v>454</v>
      </c>
      <c r="C2054" s="2" t="s">
        <v>2490</v>
      </c>
      <c r="D2054" s="2">
        <v>110000</v>
      </c>
      <c r="E2054" s="2">
        <v>630510</v>
      </c>
      <c r="F2054" s="2">
        <v>610110</v>
      </c>
      <c r="G2054" s="32">
        <f>49965+1474</f>
        <v>51439</v>
      </c>
      <c r="H2054" s="32">
        <f>49965+1474</f>
        <v>51439</v>
      </c>
    </row>
    <row r="2055" spans="1:8" s="2" customFormat="1">
      <c r="A2055" s="6" t="s">
        <v>1305</v>
      </c>
      <c r="B2055" s="2" t="s">
        <v>455</v>
      </c>
      <c r="C2055" s="2" t="s">
        <v>2490</v>
      </c>
      <c r="D2055" s="2">
        <v>110000</v>
      </c>
      <c r="E2055" s="2">
        <v>630510</v>
      </c>
      <c r="F2055" s="2">
        <v>610110</v>
      </c>
      <c r="G2055" s="32">
        <f>70214+2431+182</f>
        <v>72827</v>
      </c>
      <c r="H2055" s="32">
        <f>70214+2431+182</f>
        <v>72827</v>
      </c>
    </row>
    <row r="2056" spans="1:8" s="2" customFormat="1">
      <c r="A2056" s="6" t="s">
        <v>1306</v>
      </c>
      <c r="B2056" s="2" t="s">
        <v>456</v>
      </c>
      <c r="C2056" s="2" t="s">
        <v>544</v>
      </c>
      <c r="D2056" s="2">
        <v>110000</v>
      </c>
      <c r="E2056" s="2">
        <v>630510</v>
      </c>
      <c r="F2056" s="2">
        <v>610110</v>
      </c>
      <c r="G2056" s="32">
        <f>16135+552</f>
        <v>16687</v>
      </c>
      <c r="H2056" s="32">
        <f>16135+552</f>
        <v>16687</v>
      </c>
    </row>
    <row r="2057" spans="1:8" s="2" customFormat="1">
      <c r="A2057" s="6"/>
      <c r="D2057" s="2">
        <v>211402</v>
      </c>
      <c r="E2057" s="2">
        <v>630210</v>
      </c>
      <c r="F2057" s="2">
        <v>610110</v>
      </c>
      <c r="G2057" s="32">
        <v>41952</v>
      </c>
      <c r="H2057" s="32">
        <v>0</v>
      </c>
    </row>
    <row r="2058" spans="1:8" s="2" customFormat="1">
      <c r="A2058" s="6"/>
      <c r="D2058" s="2">
        <v>211182</v>
      </c>
      <c r="E2058" s="2">
        <v>630210</v>
      </c>
      <c r="F2058" s="2">
        <v>610110</v>
      </c>
      <c r="G2058" s="32">
        <v>6454</v>
      </c>
      <c r="H2058" s="32">
        <v>0</v>
      </c>
    </row>
    <row r="2059" spans="1:8" s="2" customFormat="1">
      <c r="A2059" s="6"/>
      <c r="E2059" s="2" t="s">
        <v>2880</v>
      </c>
      <c r="G2059" s="32">
        <f>SUM(G2056:G2058)</f>
        <v>65093</v>
      </c>
      <c r="H2059" s="32">
        <f>SUM(H2056:H2058)</f>
        <v>16687</v>
      </c>
    </row>
    <row r="2060" spans="1:8" s="2" customFormat="1">
      <c r="A2060" s="6" t="s">
        <v>1307</v>
      </c>
      <c r="B2060" s="2" t="s">
        <v>2765</v>
      </c>
      <c r="C2060" s="2" t="s">
        <v>544</v>
      </c>
      <c r="D2060" s="2">
        <v>110000</v>
      </c>
      <c r="E2060" s="2">
        <v>630510</v>
      </c>
      <c r="F2060" s="2">
        <v>610110</v>
      </c>
      <c r="G2060" s="32">
        <f>50380+1486</f>
        <v>51866</v>
      </c>
      <c r="H2060" s="32">
        <f>50380+1486</f>
        <v>51866</v>
      </c>
    </row>
    <row r="2061" spans="1:8" s="2" customFormat="1">
      <c r="A2061" s="6" t="s">
        <v>1308</v>
      </c>
      <c r="B2061" s="2" t="s">
        <v>457</v>
      </c>
      <c r="C2061" s="2" t="s">
        <v>544</v>
      </c>
      <c r="D2061" s="2">
        <v>110000</v>
      </c>
      <c r="E2061" s="2">
        <v>630510</v>
      </c>
      <c r="F2061" s="2">
        <v>610110</v>
      </c>
      <c r="G2061" s="32">
        <f>54033+1594</f>
        <v>55627</v>
      </c>
      <c r="H2061" s="32">
        <f>54033+1594</f>
        <v>55627</v>
      </c>
    </row>
    <row r="2062" spans="1:8" s="2" customFormat="1">
      <c r="A2062" s="6" t="s">
        <v>1309</v>
      </c>
      <c r="B2062" s="2" t="s">
        <v>458</v>
      </c>
      <c r="C2062" s="2" t="s">
        <v>544</v>
      </c>
      <c r="D2062" s="2">
        <v>110000</v>
      </c>
      <c r="E2062" s="2">
        <v>630510</v>
      </c>
      <c r="F2062" s="2">
        <v>610110</v>
      </c>
      <c r="G2062" s="32">
        <f>40241+1427</f>
        <v>41668</v>
      </c>
      <c r="H2062" s="32">
        <f>40241+1427</f>
        <v>41668</v>
      </c>
    </row>
    <row r="2063" spans="1:8" s="2" customFormat="1">
      <c r="A2063" s="6" t="s">
        <v>1310</v>
      </c>
      <c r="B2063" s="2" t="s">
        <v>459</v>
      </c>
      <c r="C2063" s="2" t="s">
        <v>544</v>
      </c>
      <c r="D2063" s="2">
        <v>110000</v>
      </c>
      <c r="E2063" s="2">
        <v>630510</v>
      </c>
      <c r="F2063" s="2">
        <v>610110</v>
      </c>
      <c r="G2063" s="32">
        <f>46695+1101</f>
        <v>47796</v>
      </c>
      <c r="H2063" s="32">
        <f>46695+1101</f>
        <v>47796</v>
      </c>
    </row>
    <row r="2064" spans="1:8" s="2" customFormat="1">
      <c r="A2064" s="6" t="s">
        <v>1311</v>
      </c>
      <c r="B2064" s="2" t="s">
        <v>460</v>
      </c>
      <c r="C2064" s="2" t="s">
        <v>544</v>
      </c>
      <c r="D2064" s="2">
        <v>110000</v>
      </c>
      <c r="E2064" s="2">
        <v>630510</v>
      </c>
      <c r="F2064" s="2">
        <v>610110</v>
      </c>
      <c r="G2064" s="32">
        <f>40611+953</f>
        <v>41564</v>
      </c>
      <c r="H2064" s="32">
        <f>40611+953</f>
        <v>41564</v>
      </c>
    </row>
    <row r="2065" spans="1:8" s="2" customFormat="1">
      <c r="A2065" s="6" t="s">
        <v>1312</v>
      </c>
      <c r="B2065" s="2" t="s">
        <v>461</v>
      </c>
      <c r="C2065" s="2" t="s">
        <v>148</v>
      </c>
      <c r="D2065" s="2">
        <v>110000</v>
      </c>
      <c r="E2065" s="2">
        <v>630510</v>
      </c>
      <c r="F2065" s="2">
        <v>610110</v>
      </c>
      <c r="G2065" s="32">
        <f>39584+1168</f>
        <v>40752</v>
      </c>
      <c r="H2065" s="32">
        <f>39584+1168</f>
        <v>40752</v>
      </c>
    </row>
    <row r="2066" spans="1:8" s="2" customFormat="1">
      <c r="A2066" s="6" t="s">
        <v>1313</v>
      </c>
      <c r="B2066" s="2" t="s">
        <v>950</v>
      </c>
      <c r="C2066" s="2" t="s">
        <v>148</v>
      </c>
      <c r="D2066" s="2">
        <v>110000</v>
      </c>
      <c r="E2066" s="2">
        <v>630510</v>
      </c>
      <c r="F2066" s="2">
        <v>610110</v>
      </c>
      <c r="G2066" s="32">
        <f>43731+1530</f>
        <v>45261</v>
      </c>
      <c r="H2066" s="32">
        <f>43731+1530</f>
        <v>45261</v>
      </c>
    </row>
    <row r="2067" spans="1:8" s="2" customFormat="1">
      <c r="A2067" s="6" t="s">
        <v>1314</v>
      </c>
      <c r="B2067" s="2" t="s">
        <v>951</v>
      </c>
      <c r="C2067" s="2" t="s">
        <v>148</v>
      </c>
      <c r="D2067" s="2">
        <v>110000</v>
      </c>
      <c r="E2067" s="2">
        <v>630510</v>
      </c>
      <c r="F2067" s="2">
        <v>610110</v>
      </c>
      <c r="G2067" s="32">
        <f>37895+1238</f>
        <v>39133</v>
      </c>
      <c r="H2067" s="32">
        <f>37895+1238</f>
        <v>39133</v>
      </c>
    </row>
    <row r="2068" spans="1:8" s="2" customFormat="1">
      <c r="A2068" s="6" t="s">
        <v>1315</v>
      </c>
      <c r="B2068" s="2" t="s">
        <v>1214</v>
      </c>
      <c r="C2068" s="2" t="s">
        <v>148</v>
      </c>
      <c r="D2068" s="2">
        <v>110000</v>
      </c>
      <c r="E2068" s="2">
        <v>630510</v>
      </c>
      <c r="F2068" s="2">
        <v>610110</v>
      </c>
      <c r="G2068" s="32">
        <f>35475+1047</f>
        <v>36522</v>
      </c>
      <c r="H2068" s="32">
        <f>35475+1047</f>
        <v>36522</v>
      </c>
    </row>
    <row r="2069" spans="1:8" s="2" customFormat="1">
      <c r="A2069" s="6" t="s">
        <v>1316</v>
      </c>
      <c r="B2069" s="2" t="s">
        <v>1215</v>
      </c>
      <c r="C2069" s="2" t="s">
        <v>148</v>
      </c>
      <c r="D2069" s="2">
        <v>110000</v>
      </c>
      <c r="E2069" s="2">
        <v>630510</v>
      </c>
      <c r="F2069" s="2">
        <v>610110</v>
      </c>
      <c r="G2069" s="32">
        <f>19610+698</f>
        <v>20308</v>
      </c>
      <c r="H2069" s="32">
        <f>19610+698</f>
        <v>20308</v>
      </c>
    </row>
    <row r="2070" spans="1:8" s="2" customFormat="1">
      <c r="A2070" s="6" t="s">
        <v>1317</v>
      </c>
      <c r="B2070" s="2" t="s">
        <v>2766</v>
      </c>
      <c r="C2070" s="2" t="s">
        <v>148</v>
      </c>
      <c r="D2070" s="2">
        <v>110000</v>
      </c>
      <c r="E2070" s="2">
        <v>630510</v>
      </c>
      <c r="F2070" s="2">
        <v>610110</v>
      </c>
      <c r="G2070" s="32">
        <f>40167+1391</f>
        <v>41558</v>
      </c>
      <c r="H2070" s="32">
        <f>40167+1391</f>
        <v>41558</v>
      </c>
    </row>
    <row r="2071" spans="1:8" s="2" customFormat="1">
      <c r="A2071" s="6" t="s">
        <v>1318</v>
      </c>
      <c r="B2071" s="2" t="s">
        <v>1216</v>
      </c>
      <c r="C2071" s="2" t="s">
        <v>148</v>
      </c>
      <c r="D2071" s="2">
        <v>110000</v>
      </c>
      <c r="E2071" s="2">
        <v>630510</v>
      </c>
      <c r="F2071" s="2">
        <v>610110</v>
      </c>
      <c r="G2071" s="32">
        <f>38676+1141</f>
        <v>39817</v>
      </c>
      <c r="H2071" s="32">
        <f>38676+1141</f>
        <v>39817</v>
      </c>
    </row>
    <row r="2072" spans="1:8" s="2" customFormat="1">
      <c r="A2072" s="6" t="s">
        <v>1319</v>
      </c>
      <c r="B2072" s="2" t="s">
        <v>1588</v>
      </c>
      <c r="C2072" s="2" t="s">
        <v>148</v>
      </c>
      <c r="D2072" s="2">
        <v>110000</v>
      </c>
      <c r="E2072" s="2">
        <v>630510</v>
      </c>
      <c r="F2072" s="2">
        <v>610110</v>
      </c>
      <c r="G2072" s="32">
        <f>34000+476</f>
        <v>34476</v>
      </c>
      <c r="H2072" s="32">
        <f>34000+476</f>
        <v>34476</v>
      </c>
    </row>
    <row r="2073" spans="1:8" s="2" customFormat="1">
      <c r="A2073" s="6"/>
      <c r="G2073" s="32"/>
      <c r="H2073" s="32"/>
    </row>
    <row r="2074" spans="1:8" s="2" customFormat="1">
      <c r="A2074" s="5" t="s">
        <v>2512</v>
      </c>
      <c r="B2074" s="2" t="s">
        <v>450</v>
      </c>
      <c r="G2074" s="32"/>
      <c r="H2074" s="32"/>
    </row>
    <row r="2075" spans="1:8" s="2" customFormat="1">
      <c r="A2075" s="6"/>
      <c r="G2075" s="32"/>
      <c r="H2075" s="32"/>
    </row>
    <row r="2076" spans="1:8" s="2" customFormat="1">
      <c r="A2076" s="6" t="s">
        <v>1320</v>
      </c>
      <c r="B2076" s="2" t="s">
        <v>1217</v>
      </c>
      <c r="C2076" s="2" t="s">
        <v>544</v>
      </c>
      <c r="D2076" s="2">
        <v>110000</v>
      </c>
      <c r="E2076" s="2">
        <v>630510</v>
      </c>
      <c r="F2076" s="2">
        <v>610110</v>
      </c>
      <c r="G2076" s="32">
        <f>37873+1000+1147</f>
        <v>40020</v>
      </c>
      <c r="H2076" s="32">
        <f>37873+1000+1147</f>
        <v>40020</v>
      </c>
    </row>
    <row r="2077" spans="1:8" s="2" customFormat="1">
      <c r="A2077" s="6"/>
      <c r="G2077" s="32">
        <v>12617</v>
      </c>
      <c r="H2077" s="32">
        <v>0</v>
      </c>
    </row>
    <row r="2078" spans="1:8" s="2" customFormat="1">
      <c r="A2078" s="6"/>
      <c r="E2078" s="2" t="s">
        <v>2880</v>
      </c>
      <c r="G2078" s="32">
        <f>G2076+G2077</f>
        <v>52637</v>
      </c>
      <c r="H2078" s="32">
        <f>H2076+H2077</f>
        <v>40020</v>
      </c>
    </row>
    <row r="2079" spans="1:8" s="2" customFormat="1">
      <c r="A2079" s="6"/>
      <c r="B2079" s="2" t="s">
        <v>1971</v>
      </c>
      <c r="C2079" s="2" t="s">
        <v>148</v>
      </c>
      <c r="D2079" s="2">
        <v>110000</v>
      </c>
      <c r="E2079" s="2">
        <v>630510</v>
      </c>
      <c r="F2079" s="2">
        <v>610110</v>
      </c>
      <c r="G2079" s="32">
        <v>35000</v>
      </c>
      <c r="H2079" s="32">
        <v>35000</v>
      </c>
    </row>
    <row r="2080" spans="1:8" s="2" customFormat="1">
      <c r="A2080" s="6" t="s">
        <v>1321</v>
      </c>
      <c r="B2080" s="2" t="s">
        <v>1218</v>
      </c>
      <c r="C2080" s="2" t="s">
        <v>2106</v>
      </c>
      <c r="D2080" s="2">
        <v>110000</v>
      </c>
      <c r="E2080" s="2">
        <v>630510</v>
      </c>
      <c r="F2080" s="2">
        <v>610110</v>
      </c>
      <c r="G2080" s="32">
        <f>12470+368</f>
        <v>12838</v>
      </c>
      <c r="H2080" s="32">
        <f>12470+368</f>
        <v>12838</v>
      </c>
    </row>
    <row r="2081" spans="1:8" s="2" customFormat="1">
      <c r="A2081" s="6"/>
      <c r="G2081" s="32">
        <v>13000</v>
      </c>
      <c r="H2081" s="32"/>
    </row>
    <row r="2082" spans="1:8" s="2" customFormat="1">
      <c r="A2082" s="6"/>
      <c r="E2082" s="2" t="s">
        <v>2880</v>
      </c>
      <c r="G2082" s="32">
        <f>SUM(G2080:G2081)</f>
        <v>25838</v>
      </c>
      <c r="H2082" s="32">
        <f>SUM(H2080:H2081)</f>
        <v>12838</v>
      </c>
    </row>
    <row r="2083" spans="1:8" s="2" customFormat="1">
      <c r="A2083" s="6" t="s">
        <v>914</v>
      </c>
      <c r="B2083" s="2" t="s">
        <v>1983</v>
      </c>
      <c r="C2083" s="2" t="s">
        <v>1608</v>
      </c>
      <c r="G2083" s="32">
        <v>24500</v>
      </c>
      <c r="H2083" s="32"/>
    </row>
    <row r="2084" spans="1:8" s="2" customFormat="1">
      <c r="A2084" s="6"/>
      <c r="G2084" s="32">
        <v>8500</v>
      </c>
      <c r="H2084" s="32"/>
    </row>
    <row r="2085" spans="1:8" s="2" customFormat="1">
      <c r="A2085" s="6"/>
      <c r="E2085" s="2" t="s">
        <v>2880</v>
      </c>
      <c r="G2085" s="32">
        <f>SUM(G2083:G2084)</f>
        <v>33000</v>
      </c>
      <c r="H2085" s="32"/>
    </row>
    <row r="2086" spans="1:8" s="2" customFormat="1">
      <c r="A2086" s="6" t="s">
        <v>915</v>
      </c>
      <c r="C2086" s="2" t="s">
        <v>2170</v>
      </c>
      <c r="G2086" s="32">
        <v>37563</v>
      </c>
      <c r="H2086" s="32"/>
    </row>
    <row r="2087" spans="1:8" s="2" customFormat="1">
      <c r="A2087" s="6" t="s">
        <v>1322</v>
      </c>
      <c r="B2087" s="2" t="s">
        <v>578</v>
      </c>
      <c r="C2087" s="2" t="s">
        <v>1609</v>
      </c>
      <c r="G2087" s="32">
        <v>18832</v>
      </c>
      <c r="H2087" s="32"/>
    </row>
    <row r="2088" spans="1:8" s="2" customFormat="1">
      <c r="A2088" s="6" t="s">
        <v>1323</v>
      </c>
      <c r="B2088" s="2" t="s">
        <v>2993</v>
      </c>
      <c r="C2088" s="2" t="s">
        <v>1023</v>
      </c>
      <c r="D2088" s="2">
        <v>110000</v>
      </c>
      <c r="E2088" s="2">
        <v>630510</v>
      </c>
      <c r="F2088" s="2">
        <v>610410</v>
      </c>
      <c r="G2088" s="32">
        <f>16616+465</f>
        <v>17081</v>
      </c>
      <c r="H2088" s="32">
        <f>16616+465</f>
        <v>17081</v>
      </c>
    </row>
    <row r="2089" spans="1:8" s="2" customFormat="1">
      <c r="A2089" s="6" t="s">
        <v>1324</v>
      </c>
      <c r="B2089" s="2" t="s">
        <v>1589</v>
      </c>
      <c r="C2089" s="2" t="s">
        <v>1023</v>
      </c>
      <c r="D2089" s="2">
        <v>110000</v>
      </c>
      <c r="E2089" s="2">
        <v>630510</v>
      </c>
      <c r="F2089" s="2">
        <v>610410</v>
      </c>
      <c r="G2089" s="32">
        <f>17683+495</f>
        <v>18178</v>
      </c>
      <c r="H2089" s="32">
        <f>17683+495</f>
        <v>18178</v>
      </c>
    </row>
    <row r="2090" spans="1:8" s="2" customFormat="1">
      <c r="A2090" s="6"/>
      <c r="C2090" s="2" t="s">
        <v>1611</v>
      </c>
      <c r="D2090" s="2">
        <v>110000</v>
      </c>
      <c r="E2090" s="2">
        <v>630510</v>
      </c>
      <c r="F2090" s="2">
        <v>620000</v>
      </c>
      <c r="G2090" s="32"/>
      <c r="H2090" s="32"/>
    </row>
    <row r="2091" spans="1:8" s="2" customFormat="1">
      <c r="A2091" s="6"/>
      <c r="C2091" s="2" t="s">
        <v>2950</v>
      </c>
      <c r="D2091" s="2">
        <v>110000</v>
      </c>
      <c r="E2091" s="2">
        <v>630510</v>
      </c>
      <c r="F2091" s="2">
        <v>610000</v>
      </c>
      <c r="G2091" s="36"/>
      <c r="H2091" s="36"/>
    </row>
    <row r="2092" spans="1:8" s="2" customFormat="1">
      <c r="A2092" s="5"/>
      <c r="C2092" s="2" t="s">
        <v>2951</v>
      </c>
      <c r="D2092" s="2">
        <v>110000</v>
      </c>
      <c r="E2092" s="2">
        <v>630510</v>
      </c>
      <c r="F2092" s="2">
        <v>630000</v>
      </c>
      <c r="G2092" s="32">
        <f>(SUM(G2051:G2091)-G2059-G2078-G2085-G2082)*0.2</f>
        <v>231119</v>
      </c>
      <c r="H2092" s="32">
        <f>(SUM(H2051:H2091)-H2059-H2078-H2085-H2082)*0.2</f>
        <v>198435.40000000002</v>
      </c>
    </row>
    <row r="2093" spans="1:8" s="2" customFormat="1">
      <c r="A2093" s="5"/>
      <c r="C2093" s="8" t="s">
        <v>1129</v>
      </c>
      <c r="G2093" s="32">
        <f>SUM(G2051:G2092)-G2059-G2078-G2085-G2082</f>
        <v>1386714</v>
      </c>
      <c r="H2093" s="32">
        <f>SUM(H2051:H2092)-H2059-H2078-H2085-H2082</f>
        <v>1190612.3999999999</v>
      </c>
    </row>
    <row r="2094" spans="1:8" s="2" customFormat="1">
      <c r="A2094" s="5"/>
      <c r="C2094" s="2" t="s">
        <v>2234</v>
      </c>
      <c r="D2094" s="2">
        <v>110000</v>
      </c>
      <c r="E2094" s="2">
        <v>630510</v>
      </c>
      <c r="F2094" s="2">
        <v>710000</v>
      </c>
      <c r="G2094" s="32">
        <f>24583+2000</f>
        <v>26583</v>
      </c>
      <c r="H2094" s="32">
        <f>24583+2000</f>
        <v>26583</v>
      </c>
    </row>
    <row r="2095" spans="1:8" s="2" customFormat="1">
      <c r="A2095" s="5"/>
      <c r="C2095" s="8" t="s">
        <v>2235</v>
      </c>
      <c r="G2095" s="32">
        <f>G2093+G2094</f>
        <v>1413297</v>
      </c>
      <c r="H2095" s="32">
        <f>H2093+H2094</f>
        <v>1217195.3999999999</v>
      </c>
    </row>
    <row r="2096" spans="1:8" s="2" customFormat="1">
      <c r="A2096" s="6"/>
      <c r="G2096" s="32"/>
      <c r="H2096" s="32"/>
    </row>
    <row r="2097" spans="1:8" s="2" customFormat="1">
      <c r="A2097" s="5" t="s">
        <v>2513</v>
      </c>
      <c r="B2097" s="2" t="s">
        <v>1050</v>
      </c>
      <c r="G2097" s="32"/>
      <c r="H2097" s="32"/>
    </row>
    <row r="2098" spans="1:8" s="2" customFormat="1">
      <c r="A2098" s="5"/>
      <c r="G2098" s="32"/>
      <c r="H2098" s="32"/>
    </row>
    <row r="2099" spans="1:8" s="2" customFormat="1">
      <c r="A2099" s="5"/>
      <c r="C2099" s="2" t="s">
        <v>2234</v>
      </c>
      <c r="D2099" s="2">
        <v>110000</v>
      </c>
      <c r="E2099" s="2">
        <v>630511</v>
      </c>
      <c r="F2099" s="2">
        <v>710000</v>
      </c>
      <c r="G2099" s="32">
        <v>20000</v>
      </c>
      <c r="H2099" s="32">
        <v>20000</v>
      </c>
    </row>
    <row r="2100" spans="1:8" s="2" customFormat="1">
      <c r="A2100" s="5"/>
      <c r="C2100" s="8" t="s">
        <v>2235</v>
      </c>
      <c r="G2100" s="32">
        <f>SUM(G2099)</f>
        <v>20000</v>
      </c>
      <c r="H2100" s="32">
        <f>SUM(H2099)</f>
        <v>20000</v>
      </c>
    </row>
    <row r="2101" spans="1:8" s="2" customFormat="1">
      <c r="A2101" s="6"/>
      <c r="G2101" s="32"/>
      <c r="H2101" s="32"/>
    </row>
    <row r="2102" spans="1:8" s="2" customFormat="1">
      <c r="A2102" s="6" t="s">
        <v>2549</v>
      </c>
      <c r="B2102" s="2" t="s">
        <v>2151</v>
      </c>
      <c r="D2102" s="26"/>
      <c r="G2102" s="32"/>
      <c r="H2102" s="32"/>
    </row>
    <row r="2103" spans="1:8" s="2" customFormat="1">
      <c r="D2103" s="26"/>
      <c r="G2103" s="32"/>
      <c r="H2103" s="32"/>
    </row>
    <row r="2104" spans="1:8" s="2" customFormat="1">
      <c r="A2104" s="5" t="s">
        <v>1836</v>
      </c>
      <c r="C2104" s="2" t="s">
        <v>2152</v>
      </c>
      <c r="D2104" s="26">
        <v>110000</v>
      </c>
      <c r="E2104" s="2">
        <v>630611</v>
      </c>
      <c r="F2104" s="2">
        <v>610210</v>
      </c>
      <c r="G2104" s="32">
        <v>33500</v>
      </c>
      <c r="H2104" s="32">
        <v>33500</v>
      </c>
    </row>
    <row r="2105" spans="1:8" s="2" customFormat="1">
      <c r="A2105" s="5" t="s">
        <v>1837</v>
      </c>
      <c r="C2105" s="2" t="s">
        <v>1453</v>
      </c>
      <c r="D2105" s="26">
        <v>110000</v>
      </c>
      <c r="E2105" s="2">
        <v>630611</v>
      </c>
      <c r="F2105" s="2">
        <v>610410</v>
      </c>
      <c r="G2105" s="32">
        <f>19088+534</f>
        <v>19622</v>
      </c>
      <c r="H2105" s="32">
        <f>19088+534</f>
        <v>19622</v>
      </c>
    </row>
    <row r="2106" spans="1:8" s="2" customFormat="1">
      <c r="A2106" s="5" t="s">
        <v>2153</v>
      </c>
      <c r="C2106" s="2" t="s">
        <v>2950</v>
      </c>
      <c r="D2106" s="26">
        <v>110000</v>
      </c>
      <c r="E2106" s="2">
        <v>630611</v>
      </c>
      <c r="F2106" s="2">
        <v>610000</v>
      </c>
      <c r="G2106" s="32"/>
      <c r="H2106" s="32"/>
    </row>
    <row r="2107" spans="1:8" s="2" customFormat="1">
      <c r="C2107" s="2" t="s">
        <v>2951</v>
      </c>
      <c r="D2107" s="26">
        <v>110000</v>
      </c>
      <c r="E2107" s="2">
        <v>630611</v>
      </c>
      <c r="F2107" s="2">
        <v>630000</v>
      </c>
      <c r="G2107" s="32">
        <f>(G2105+G2104+G2106)*0.21</f>
        <v>11155.619999999999</v>
      </c>
      <c r="H2107" s="32">
        <f>(H2105+H2104+H2106)*0.21</f>
        <v>11155.619999999999</v>
      </c>
    </row>
    <row r="2108" spans="1:8" s="2" customFormat="1">
      <c r="C2108" s="8" t="s">
        <v>1129</v>
      </c>
      <c r="D2108" s="26"/>
      <c r="G2108" s="32">
        <f>SUM(G2104:G2107)</f>
        <v>64277.619999999995</v>
      </c>
      <c r="H2108" s="32">
        <f>SUM(H2104:H2107)</f>
        <v>64277.619999999995</v>
      </c>
    </row>
    <row r="2109" spans="1:8" s="2" customFormat="1">
      <c r="C2109" s="2" t="s">
        <v>2234</v>
      </c>
      <c r="D2109" s="26">
        <v>110000</v>
      </c>
      <c r="E2109" s="2">
        <v>630611</v>
      </c>
      <c r="F2109" s="2">
        <v>710000</v>
      </c>
      <c r="G2109" s="32">
        <f>H2109</f>
        <v>52086.380000000005</v>
      </c>
      <c r="H2109" s="32">
        <f>116364-H2108</f>
        <v>52086.380000000005</v>
      </c>
    </row>
    <row r="2110" spans="1:8" s="2" customFormat="1">
      <c r="C2110" s="2" t="s">
        <v>2147</v>
      </c>
      <c r="D2110" s="26">
        <v>110000</v>
      </c>
      <c r="E2110" s="2">
        <v>630611</v>
      </c>
      <c r="F2110" s="2">
        <v>790700</v>
      </c>
      <c r="G2110" s="32">
        <f>H2110</f>
        <v>11636.400000000001</v>
      </c>
      <c r="H2110" s="32">
        <f>(H2108+H2109)*0.1</f>
        <v>11636.400000000001</v>
      </c>
    </row>
    <row r="2111" spans="1:8" s="2" customFormat="1">
      <c r="C2111" s="8" t="s">
        <v>2235</v>
      </c>
      <c r="D2111" s="26"/>
      <c r="G2111" s="32">
        <f>SUM(G2108:G2110)</f>
        <v>128000.4</v>
      </c>
      <c r="H2111" s="32">
        <f>SUM(H2108:H2110)</f>
        <v>128000.4</v>
      </c>
    </row>
    <row r="2112" spans="1:8" s="2" customFormat="1">
      <c r="D2112" s="26"/>
      <c r="G2112" s="32"/>
      <c r="H2112" s="32"/>
    </row>
    <row r="2113" spans="1:8" s="2" customFormat="1">
      <c r="A2113" s="5" t="s">
        <v>2948</v>
      </c>
      <c r="B2113" s="2" t="s">
        <v>449</v>
      </c>
      <c r="G2113" s="32"/>
      <c r="H2113" s="32"/>
    </row>
    <row r="2114" spans="1:8" s="2" customFormat="1">
      <c r="A2114" s="5"/>
      <c r="G2114" s="32"/>
      <c r="H2114" s="32"/>
    </row>
    <row r="2115" spans="1:8" s="2" customFormat="1">
      <c r="A2115" s="6"/>
      <c r="C2115" s="2" t="s">
        <v>328</v>
      </c>
      <c r="D2115" s="2">
        <v>110000</v>
      </c>
      <c r="E2115" s="2">
        <v>640000</v>
      </c>
      <c r="F2115" s="19">
        <v>799999</v>
      </c>
      <c r="G2115" s="32">
        <f>95184-3807</f>
        <v>91377</v>
      </c>
      <c r="H2115" s="32">
        <f>95184-3807</f>
        <v>91377</v>
      </c>
    </row>
    <row r="2116" spans="1:8" s="2" customFormat="1">
      <c r="A2116" s="6"/>
      <c r="C2116" s="2" t="s">
        <v>2063</v>
      </c>
      <c r="D2116" s="2">
        <v>110000</v>
      </c>
      <c r="E2116" s="2">
        <v>640000</v>
      </c>
      <c r="F2116" s="19">
        <v>799999</v>
      </c>
      <c r="G2116" s="32">
        <f>172795-6912</f>
        <v>165883</v>
      </c>
      <c r="H2116" s="32">
        <f>172795-6912</f>
        <v>165883</v>
      </c>
    </row>
    <row r="2117" spans="1:8" s="2" customFormat="1">
      <c r="A2117" s="6"/>
      <c r="C2117" s="2" t="s">
        <v>2950</v>
      </c>
      <c r="D2117" s="2">
        <v>110000</v>
      </c>
      <c r="E2117" s="2">
        <v>640000</v>
      </c>
      <c r="F2117" s="19">
        <v>799999</v>
      </c>
      <c r="G2117" s="32"/>
      <c r="H2117" s="32"/>
    </row>
    <row r="2118" spans="1:8" s="2" customFormat="1">
      <c r="A2118" s="5"/>
      <c r="C2118" s="2" t="s">
        <v>2951</v>
      </c>
      <c r="D2118" s="2">
        <v>110000</v>
      </c>
      <c r="E2118" s="2">
        <v>640000</v>
      </c>
      <c r="F2118" s="19">
        <v>799999</v>
      </c>
      <c r="G2118" s="32">
        <f>G2115*0.08+G2116*0.18+G2117*0.21+0.5</f>
        <v>37169.599999999999</v>
      </c>
      <c r="H2118" s="32">
        <f>H2115*0.08+H2116*0.18+H2117*0.21+0.5</f>
        <v>37169.599999999999</v>
      </c>
    </row>
    <row r="2119" spans="1:8" s="2" customFormat="1">
      <c r="A2119" s="5"/>
      <c r="C2119" s="8" t="s">
        <v>1129</v>
      </c>
      <c r="G2119" s="32">
        <f>SUM(G2115:G2118)</f>
        <v>294429.59999999998</v>
      </c>
      <c r="H2119" s="32">
        <f>SUM(H2115:H2118)</f>
        <v>294429.59999999998</v>
      </c>
    </row>
    <row r="2120" spans="1:8" s="2" customFormat="1">
      <c r="A2120" s="5"/>
      <c r="C2120" s="8" t="s">
        <v>2235</v>
      </c>
      <c r="G2120" s="32">
        <f>G2119</f>
        <v>294429.59999999998</v>
      </c>
      <c r="H2120" s="32">
        <f>H2119</f>
        <v>294429.59999999998</v>
      </c>
    </row>
    <row r="2121" spans="1:8" s="2" customFormat="1">
      <c r="A2121" s="5"/>
      <c r="G2121" s="32"/>
      <c r="H2121" s="32"/>
    </row>
    <row r="2122" spans="1:8" s="2" customFormat="1">
      <c r="A2122" s="5" t="s">
        <v>491</v>
      </c>
      <c r="B2122" s="9" t="s">
        <v>2430</v>
      </c>
      <c r="E2122" s="20"/>
      <c r="F2122" s="25"/>
      <c r="G2122" s="32"/>
      <c r="H2122" s="32"/>
    </row>
    <row r="2123" spans="1:8" s="2" customFormat="1">
      <c r="A2123" s="5"/>
      <c r="E2123" s="20"/>
      <c r="F2123" s="25"/>
      <c r="G2123" s="32"/>
      <c r="H2123" s="32"/>
    </row>
    <row r="2124" spans="1:8" s="2" customFormat="1">
      <c r="A2124" s="5" t="s">
        <v>2323</v>
      </c>
      <c r="B2124" s="2" t="s">
        <v>2431</v>
      </c>
      <c r="C2124" s="2" t="s">
        <v>2807</v>
      </c>
      <c r="D2124" s="2">
        <v>110000</v>
      </c>
      <c r="E2124" s="20" t="s">
        <v>491</v>
      </c>
      <c r="F2124" s="25">
        <v>610110</v>
      </c>
      <c r="G2124" s="32">
        <f>90314+2619</f>
        <v>92933</v>
      </c>
      <c r="H2124" s="32">
        <f>90314+2619</f>
        <v>92933</v>
      </c>
    </row>
    <row r="2125" spans="1:8" s="2" customFormat="1">
      <c r="A2125" s="5" t="s">
        <v>2324</v>
      </c>
      <c r="B2125" s="2" t="s">
        <v>2432</v>
      </c>
      <c r="C2125" s="2" t="s">
        <v>2433</v>
      </c>
      <c r="D2125" s="2">
        <v>110000</v>
      </c>
      <c r="E2125" s="20" t="s">
        <v>491</v>
      </c>
      <c r="F2125" s="25">
        <v>610110</v>
      </c>
      <c r="G2125" s="32">
        <f>29796+894</f>
        <v>30690</v>
      </c>
      <c r="H2125" s="32">
        <f>29796+894</f>
        <v>30690</v>
      </c>
    </row>
    <row r="2126" spans="1:8" s="2" customFormat="1">
      <c r="A2126" s="5" t="s">
        <v>2325</v>
      </c>
      <c r="B2126" s="2" t="s">
        <v>1754</v>
      </c>
      <c r="C2126" s="2" t="s">
        <v>1023</v>
      </c>
      <c r="D2126" s="2">
        <v>110000</v>
      </c>
      <c r="E2126" s="20" t="s">
        <v>491</v>
      </c>
      <c r="F2126" s="25">
        <v>610410</v>
      </c>
      <c r="G2126" s="32">
        <f>20962+587</f>
        <v>21549</v>
      </c>
      <c r="H2126" s="32">
        <f>20962+587</f>
        <v>21549</v>
      </c>
    </row>
    <row r="2127" spans="1:8">
      <c r="A2127" s="5" t="s">
        <v>2326</v>
      </c>
      <c r="B2127" s="2" t="s">
        <v>1755</v>
      </c>
      <c r="C2127" s="2" t="s">
        <v>1024</v>
      </c>
      <c r="D2127" s="2"/>
      <c r="E2127" s="20"/>
      <c r="F2127" s="25"/>
      <c r="G2127" s="32">
        <v>64653</v>
      </c>
      <c r="H2127" s="32"/>
    </row>
    <row r="2128" spans="1:8" s="2" customFormat="1">
      <c r="A2128" s="5"/>
      <c r="C2128" s="2" t="s">
        <v>1611</v>
      </c>
      <c r="D2128" s="2">
        <v>110000</v>
      </c>
      <c r="E2128" s="20" t="s">
        <v>491</v>
      </c>
      <c r="F2128" s="25">
        <v>620000</v>
      </c>
      <c r="G2128" s="32"/>
      <c r="H2128" s="32"/>
    </row>
    <row r="2129" spans="1:8" s="2" customFormat="1">
      <c r="A2129" s="5"/>
      <c r="C2129" s="2" t="s">
        <v>2950</v>
      </c>
      <c r="D2129" s="2">
        <v>110000</v>
      </c>
      <c r="E2129" s="20" t="s">
        <v>491</v>
      </c>
      <c r="F2129" s="25">
        <v>610000</v>
      </c>
      <c r="G2129" s="36"/>
      <c r="H2129" s="36"/>
    </row>
    <row r="2130" spans="1:8" s="2" customFormat="1">
      <c r="A2130" s="5"/>
      <c r="C2130" s="2" t="s">
        <v>2951</v>
      </c>
      <c r="D2130" s="2">
        <v>110000</v>
      </c>
      <c r="E2130" s="20" t="s">
        <v>491</v>
      </c>
      <c r="F2130" s="25">
        <v>630000</v>
      </c>
      <c r="G2130" s="32">
        <f>SUM(G2124:G2129)*0.2</f>
        <v>41965</v>
      </c>
      <c r="H2130" s="32">
        <f>SUM(H2124:H2129)*0.2</f>
        <v>29034.400000000001</v>
      </c>
    </row>
    <row r="2131" spans="1:8" s="2" customFormat="1">
      <c r="A2131" s="5"/>
      <c r="C2131" s="8" t="s">
        <v>1129</v>
      </c>
      <c r="E2131" s="20"/>
      <c r="F2131" s="25"/>
      <c r="G2131" s="32">
        <f>SUM(G2124:G2130)</f>
        <v>251790</v>
      </c>
      <c r="H2131" s="32">
        <f>SUM(H2124:H2130)</f>
        <v>174206.4</v>
      </c>
    </row>
    <row r="2132" spans="1:8" s="2" customFormat="1">
      <c r="A2132" s="5"/>
      <c r="C2132" s="2" t="s">
        <v>2234</v>
      </c>
      <c r="D2132" s="2">
        <v>110000</v>
      </c>
      <c r="E2132" s="20" t="s">
        <v>491</v>
      </c>
      <c r="F2132" s="25">
        <v>710000</v>
      </c>
      <c r="G2132" s="32">
        <v>16387</v>
      </c>
      <c r="H2132" s="32">
        <v>16387</v>
      </c>
    </row>
    <row r="2133" spans="1:8" s="2" customFormat="1">
      <c r="A2133" s="5"/>
      <c r="C2133" s="8" t="s">
        <v>2235</v>
      </c>
      <c r="E2133" s="20"/>
      <c r="F2133" s="25"/>
      <c r="G2133" s="32">
        <f>G2131+G2132</f>
        <v>268177</v>
      </c>
      <c r="H2133" s="32">
        <f>H2131+H2132</f>
        <v>190593.4</v>
      </c>
    </row>
    <row r="2134" spans="1:8" s="2" customFormat="1">
      <c r="A2134" s="5"/>
      <c r="E2134" s="20"/>
      <c r="F2134" s="25"/>
      <c r="G2134" s="32"/>
      <c r="H2134" s="32"/>
    </row>
    <row r="2135" spans="1:8" s="2" customFormat="1">
      <c r="A2135" s="5" t="s">
        <v>3058</v>
      </c>
      <c r="B2135" s="2" t="s">
        <v>313</v>
      </c>
      <c r="E2135" s="20"/>
      <c r="G2135" s="32"/>
      <c r="H2135" s="32"/>
    </row>
    <row r="2136" spans="1:8" s="2" customFormat="1">
      <c r="A2136" s="5"/>
      <c r="E2136" s="20"/>
      <c r="G2136" s="32"/>
      <c r="H2136" s="32"/>
    </row>
    <row r="2137" spans="1:8" s="2" customFormat="1">
      <c r="A2137" s="5"/>
      <c r="E2137" s="20"/>
      <c r="G2137" s="32"/>
      <c r="H2137" s="32"/>
    </row>
    <row r="2138" spans="1:8" s="2" customFormat="1">
      <c r="A2138" s="5" t="s">
        <v>1277</v>
      </c>
      <c r="B2138" s="2" t="s">
        <v>314</v>
      </c>
      <c r="C2138" s="2" t="s">
        <v>32</v>
      </c>
      <c r="D2138" s="2">
        <v>110000</v>
      </c>
      <c r="E2138" s="20" t="s">
        <v>3058</v>
      </c>
      <c r="F2138" s="2">
        <v>610110</v>
      </c>
      <c r="G2138" s="32">
        <f>32245+902</f>
        <v>33147</v>
      </c>
      <c r="H2138" s="32">
        <f>32245+902</f>
        <v>33147</v>
      </c>
    </row>
    <row r="2139" spans="1:8" s="2" customFormat="1">
      <c r="A2139" s="5"/>
      <c r="D2139" s="2">
        <v>166105</v>
      </c>
      <c r="E2139" s="2">
        <v>640100</v>
      </c>
      <c r="F2139" s="2">
        <v>610110</v>
      </c>
      <c r="G2139" s="32">
        <v>32810</v>
      </c>
      <c r="H2139" s="32"/>
    </row>
    <row r="2140" spans="1:8" s="2" customFormat="1">
      <c r="A2140" s="5"/>
      <c r="E2140" s="2" t="s">
        <v>2880</v>
      </c>
      <c r="G2140" s="32">
        <f>G2138+G2139</f>
        <v>65957</v>
      </c>
      <c r="H2140" s="32">
        <f>H2138+H2139</f>
        <v>33147</v>
      </c>
    </row>
    <row r="2141" spans="1:8" s="2" customFormat="1">
      <c r="A2141" s="5" t="s">
        <v>1278</v>
      </c>
      <c r="B2141" s="2" t="s">
        <v>315</v>
      </c>
      <c r="C2141" s="2" t="s">
        <v>2490</v>
      </c>
      <c r="D2141" s="2">
        <v>110000</v>
      </c>
      <c r="E2141" s="20" t="s">
        <v>3058</v>
      </c>
      <c r="F2141" s="2">
        <v>610110</v>
      </c>
      <c r="G2141" s="32">
        <f>31249+812</f>
        <v>32061</v>
      </c>
      <c r="H2141" s="32">
        <f>31249+812</f>
        <v>32061</v>
      </c>
    </row>
    <row r="2142" spans="1:8" s="2" customFormat="1">
      <c r="A2142" s="5"/>
      <c r="D2142" s="2">
        <v>166105</v>
      </c>
      <c r="E2142" s="20" t="s">
        <v>491</v>
      </c>
      <c r="F2142" s="2">
        <v>610110</v>
      </c>
      <c r="G2142" s="32">
        <v>32491</v>
      </c>
      <c r="H2142" s="32"/>
    </row>
    <row r="2143" spans="1:8" s="2" customFormat="1">
      <c r="A2143" s="5"/>
      <c r="E2143" s="2" t="s">
        <v>2880</v>
      </c>
      <c r="G2143" s="32">
        <f>G2141+G2142</f>
        <v>64552</v>
      </c>
      <c r="H2143" s="32">
        <f>H2141+H2142</f>
        <v>32061</v>
      </c>
    </row>
    <row r="2144" spans="1:8" s="2" customFormat="1">
      <c r="A2144" s="5" t="s">
        <v>1279</v>
      </c>
      <c r="B2144" s="2" t="s">
        <v>794</v>
      </c>
      <c r="C2144" s="2" t="s">
        <v>2490</v>
      </c>
      <c r="D2144" s="2">
        <v>110000</v>
      </c>
      <c r="E2144" s="20" t="s">
        <v>3058</v>
      </c>
      <c r="F2144" s="2">
        <v>610110</v>
      </c>
      <c r="G2144" s="32">
        <f>40333+1129</f>
        <v>41462</v>
      </c>
      <c r="H2144" s="32">
        <f>40333+1129</f>
        <v>41462</v>
      </c>
    </row>
    <row r="2145" spans="1:8" s="2" customFormat="1">
      <c r="A2145" s="5"/>
      <c r="D2145" s="2">
        <v>166105</v>
      </c>
      <c r="E2145" s="20" t="s">
        <v>491</v>
      </c>
      <c r="F2145" s="2">
        <v>610110</v>
      </c>
      <c r="G2145" s="32">
        <v>39825</v>
      </c>
      <c r="H2145" s="32"/>
    </row>
    <row r="2146" spans="1:8" s="2" customFormat="1">
      <c r="A2146" s="5"/>
      <c r="E2146" s="2" t="s">
        <v>2880</v>
      </c>
      <c r="G2146" s="32">
        <f>G2144+G2145</f>
        <v>81287</v>
      </c>
      <c r="H2146" s="32">
        <f>H2144+H2145</f>
        <v>41462</v>
      </c>
    </row>
    <row r="2147" spans="1:8" s="2" customFormat="1">
      <c r="A2147" s="10" t="s">
        <v>1280</v>
      </c>
      <c r="B2147" s="4" t="s">
        <v>795</v>
      </c>
      <c r="C2147" s="4" t="s">
        <v>2490</v>
      </c>
      <c r="D2147" s="2">
        <v>110000</v>
      </c>
      <c r="E2147" s="20" t="s">
        <v>3058</v>
      </c>
      <c r="F2147" s="2">
        <v>610110</v>
      </c>
      <c r="G2147" s="35">
        <f>69209+1938</f>
        <v>71147</v>
      </c>
      <c r="H2147" s="35">
        <f>69209+1938</f>
        <v>71147</v>
      </c>
    </row>
    <row r="2148" spans="1:8" s="2" customFormat="1">
      <c r="A2148" s="5" t="s">
        <v>1281</v>
      </c>
      <c r="B2148" s="2" t="s">
        <v>796</v>
      </c>
      <c r="C2148" s="2" t="s">
        <v>2490</v>
      </c>
      <c r="D2148" s="2">
        <v>110000</v>
      </c>
      <c r="E2148" s="20" t="s">
        <v>3058</v>
      </c>
      <c r="F2148" s="2">
        <v>610110</v>
      </c>
      <c r="G2148" s="32">
        <f>63782+1786</f>
        <v>65568</v>
      </c>
      <c r="H2148" s="32">
        <f>63782+1786</f>
        <v>65568</v>
      </c>
    </row>
    <row r="2149" spans="1:8" s="2" customFormat="1">
      <c r="A2149" s="5" t="s">
        <v>1282</v>
      </c>
      <c r="B2149" s="2" t="s">
        <v>797</v>
      </c>
      <c r="C2149" s="2" t="s">
        <v>544</v>
      </c>
      <c r="D2149" s="2">
        <v>110000</v>
      </c>
      <c r="E2149" s="20" t="s">
        <v>3058</v>
      </c>
      <c r="F2149" s="2">
        <v>610110</v>
      </c>
      <c r="G2149" s="32">
        <f>49146+3278</f>
        <v>52424</v>
      </c>
      <c r="H2149" s="32">
        <f>49146+3278</f>
        <v>52424</v>
      </c>
    </row>
    <row r="2150" spans="1:8" s="2" customFormat="1">
      <c r="A2150" s="5" t="s">
        <v>1283</v>
      </c>
      <c r="B2150" s="2" t="s">
        <v>798</v>
      </c>
      <c r="C2150" s="2" t="s">
        <v>148</v>
      </c>
      <c r="D2150" s="2">
        <v>110000</v>
      </c>
      <c r="E2150" s="20" t="s">
        <v>3058</v>
      </c>
      <c r="F2150" s="2">
        <v>610110</v>
      </c>
      <c r="G2150" s="32">
        <f>24066+722</f>
        <v>24788</v>
      </c>
      <c r="H2150" s="32">
        <f>24066+722</f>
        <v>24788</v>
      </c>
    </row>
    <row r="2151" spans="1:8" s="2" customFormat="1">
      <c r="A2151" s="5"/>
      <c r="D2151" s="2">
        <v>166105</v>
      </c>
      <c r="E2151" s="20" t="s">
        <v>491</v>
      </c>
      <c r="F2151" s="2">
        <v>610110</v>
      </c>
      <c r="G2151" s="32">
        <v>23951</v>
      </c>
      <c r="H2151" s="32"/>
    </row>
    <row r="2152" spans="1:8" s="2" customFormat="1">
      <c r="A2152" s="5"/>
      <c r="E2152" s="2" t="s">
        <v>2880</v>
      </c>
      <c r="G2152" s="32">
        <f>SUM(G2150:G2151)</f>
        <v>48739</v>
      </c>
      <c r="H2152" s="32">
        <f>SUM(H2150:H2151)</f>
        <v>24788</v>
      </c>
    </row>
    <row r="2153" spans="1:8" s="2" customFormat="1">
      <c r="A2153" s="5" t="s">
        <v>1284</v>
      </c>
      <c r="B2153" s="2" t="s">
        <v>799</v>
      </c>
      <c r="C2153" s="2" t="s">
        <v>1031</v>
      </c>
      <c r="D2153" s="2">
        <v>110000</v>
      </c>
      <c r="E2153" s="20" t="s">
        <v>3058</v>
      </c>
      <c r="F2153" s="2">
        <v>610110</v>
      </c>
      <c r="G2153" s="32">
        <f>249+20855+648</f>
        <v>21752</v>
      </c>
      <c r="H2153" s="32">
        <f>249+20855+648</f>
        <v>21752</v>
      </c>
    </row>
    <row r="2154" spans="1:8" s="2" customFormat="1">
      <c r="A2154" s="5"/>
      <c r="D2154" s="2">
        <v>166105</v>
      </c>
      <c r="E2154" s="20" t="s">
        <v>491</v>
      </c>
      <c r="F2154" s="2">
        <v>610110</v>
      </c>
      <c r="G2154" s="32">
        <v>21030</v>
      </c>
      <c r="H2154" s="32"/>
    </row>
    <row r="2155" spans="1:8" s="2" customFormat="1">
      <c r="A2155" s="5"/>
      <c r="E2155" s="2" t="s">
        <v>2880</v>
      </c>
      <c r="G2155" s="32">
        <f>G2153+G2154</f>
        <v>42782</v>
      </c>
      <c r="H2155" s="32">
        <f>H2153+H2154</f>
        <v>21752</v>
      </c>
    </row>
    <row r="2156" spans="1:8" s="2" customFormat="1">
      <c r="A2156" s="5" t="s">
        <v>1285</v>
      </c>
      <c r="B2156" s="2" t="s">
        <v>800</v>
      </c>
      <c r="C2156" s="2" t="s">
        <v>1609</v>
      </c>
      <c r="D2156" s="2">
        <v>110000</v>
      </c>
      <c r="E2156" s="20" t="s">
        <v>3058</v>
      </c>
      <c r="F2156" s="2">
        <v>610410</v>
      </c>
      <c r="G2156" s="32">
        <f>19157+536</f>
        <v>19693</v>
      </c>
      <c r="H2156" s="32">
        <f>19157+536</f>
        <v>19693</v>
      </c>
    </row>
    <row r="2157" spans="1:8" s="2" customFormat="1">
      <c r="A2157" s="5" t="s">
        <v>1286</v>
      </c>
      <c r="B2157" s="2" t="s">
        <v>149</v>
      </c>
      <c r="C2157" s="2" t="s">
        <v>1031</v>
      </c>
      <c r="D2157" s="2">
        <v>110000</v>
      </c>
      <c r="E2157" s="20" t="s">
        <v>3058</v>
      </c>
      <c r="F2157" s="2">
        <v>610110</v>
      </c>
      <c r="G2157" s="32">
        <f>26692+747</f>
        <v>27439</v>
      </c>
      <c r="H2157" s="32">
        <f>26692+747</f>
        <v>27439</v>
      </c>
    </row>
    <row r="2158" spans="1:8" s="2" customFormat="1">
      <c r="A2158" s="5"/>
      <c r="D2158" s="2">
        <v>166105</v>
      </c>
      <c r="E2158" s="20" t="s">
        <v>491</v>
      </c>
      <c r="F2158" s="2">
        <v>610110</v>
      </c>
      <c r="G2158" s="32">
        <v>19828</v>
      </c>
      <c r="H2158" s="32"/>
    </row>
    <row r="2159" spans="1:8" s="2" customFormat="1">
      <c r="A2159" s="5"/>
      <c r="E2159" s="2" t="s">
        <v>2880</v>
      </c>
      <c r="G2159" s="32">
        <f>G2157+G2158</f>
        <v>47267</v>
      </c>
      <c r="H2159" s="32">
        <f>H2157+H2158</f>
        <v>27439</v>
      </c>
    </row>
    <row r="2160" spans="1:8" s="2" customFormat="1">
      <c r="A2160" s="5" t="s">
        <v>1287</v>
      </c>
      <c r="B2160" s="2" t="s">
        <v>150</v>
      </c>
      <c r="C2160" s="2" t="s">
        <v>2106</v>
      </c>
      <c r="D2160" s="2">
        <v>110000</v>
      </c>
      <c r="E2160" s="20" t="s">
        <v>3058</v>
      </c>
      <c r="F2160" s="2">
        <v>610110</v>
      </c>
      <c r="G2160" s="32">
        <f>20515+630</f>
        <v>21145</v>
      </c>
      <c r="H2160" s="32">
        <f>20515+630</f>
        <v>21145</v>
      </c>
    </row>
    <row r="2161" spans="1:8" s="2" customFormat="1">
      <c r="A2161" s="5"/>
      <c r="D2161" s="2">
        <v>166105</v>
      </c>
      <c r="E2161" s="20" t="s">
        <v>491</v>
      </c>
      <c r="F2161" s="2">
        <v>610110</v>
      </c>
      <c r="G2161" s="32">
        <v>20782</v>
      </c>
      <c r="H2161" s="32"/>
    </row>
    <row r="2162" spans="1:8" s="2" customFormat="1">
      <c r="A2162" s="5"/>
      <c r="E2162" s="2" t="s">
        <v>2880</v>
      </c>
      <c r="G2162" s="32">
        <f>G2160+G2161</f>
        <v>41927</v>
      </c>
      <c r="H2162" s="32">
        <f>H2160+H2161</f>
        <v>21145</v>
      </c>
    </row>
    <row r="2163" spans="1:8" s="2" customFormat="1">
      <c r="A2163" s="5" t="s">
        <v>3058</v>
      </c>
      <c r="B2163" s="2" t="s">
        <v>313</v>
      </c>
      <c r="E2163" s="20"/>
      <c r="G2163" s="32"/>
      <c r="H2163" s="32"/>
    </row>
    <row r="2164" spans="1:8" s="2" customFormat="1">
      <c r="A2164" s="5"/>
      <c r="E2164" s="20"/>
      <c r="G2164" s="32"/>
      <c r="H2164" s="32"/>
    </row>
    <row r="2165" spans="1:8" s="2" customFormat="1">
      <c r="A2165" s="5" t="s">
        <v>1288</v>
      </c>
      <c r="B2165" s="2" t="s">
        <v>151</v>
      </c>
      <c r="C2165" s="2" t="s">
        <v>1031</v>
      </c>
      <c r="D2165" s="2">
        <v>110000</v>
      </c>
      <c r="E2165" s="20" t="s">
        <v>3058</v>
      </c>
      <c r="F2165" s="2">
        <v>610110</v>
      </c>
      <c r="G2165" s="32">
        <f>4236+119</f>
        <v>4355</v>
      </c>
      <c r="H2165" s="32">
        <f>4236+119</f>
        <v>4355</v>
      </c>
    </row>
    <row r="2166" spans="1:8" s="2" customFormat="1">
      <c r="A2166" s="5"/>
      <c r="D2166" s="2">
        <v>110000</v>
      </c>
      <c r="E2166" s="20" t="s">
        <v>3059</v>
      </c>
      <c r="F2166" s="2">
        <v>610110</v>
      </c>
      <c r="G2166" s="32">
        <f>8985+252</f>
        <v>9237</v>
      </c>
      <c r="H2166" s="32"/>
    </row>
    <row r="2167" spans="1:8" s="2" customFormat="1">
      <c r="A2167" s="5"/>
      <c r="E2167" s="2" t="s">
        <v>2880</v>
      </c>
      <c r="G2167" s="32">
        <f>G2165+G2166</f>
        <v>13592</v>
      </c>
      <c r="H2167" s="32">
        <f>H2165+H2166</f>
        <v>4355</v>
      </c>
    </row>
    <row r="2168" spans="1:8" s="2" customFormat="1">
      <c r="A2168" s="5"/>
      <c r="C2168" s="2" t="s">
        <v>1611</v>
      </c>
      <c r="D2168" s="2">
        <v>110000</v>
      </c>
      <c r="E2168" s="20" t="s">
        <v>3058</v>
      </c>
      <c r="F2168" s="2">
        <v>620000</v>
      </c>
      <c r="G2168" s="32"/>
      <c r="H2168" s="32"/>
    </row>
    <row r="2169" spans="1:8" s="2" customFormat="1">
      <c r="A2169" s="5"/>
      <c r="C2169" s="2" t="s">
        <v>801</v>
      </c>
      <c r="D2169" s="2">
        <v>110000</v>
      </c>
      <c r="E2169" s="20" t="s">
        <v>3058</v>
      </c>
      <c r="F2169" s="2">
        <v>610000</v>
      </c>
      <c r="G2169" s="36"/>
      <c r="H2169" s="36"/>
    </row>
    <row r="2170" spans="1:8" s="2" customFormat="1">
      <c r="A2170" s="5"/>
      <c r="C2170" s="2" t="s">
        <v>2951</v>
      </c>
      <c r="D2170" s="2">
        <v>110000</v>
      </c>
      <c r="E2170" s="20" t="s">
        <v>3058</v>
      </c>
      <c r="F2170" s="2">
        <v>630000</v>
      </c>
      <c r="G2170" s="32">
        <f>(SUM(G2138:G2169)-G2140-G2143-G2146-G2152-G2155-G2159-G2162-G2167)*0.21</f>
        <v>129136.34999999999</v>
      </c>
      <c r="H2170" s="32">
        <f>(SUM(H2138:H2169)-H2140-H2143-H2146-H2152-H2155-H2159-H2162-H2167)*0.21</f>
        <v>87146.01</v>
      </c>
    </row>
    <row r="2171" spans="1:8" s="2" customFormat="1">
      <c r="A2171" s="5"/>
      <c r="C2171" s="8" t="s">
        <v>1129</v>
      </c>
      <c r="E2171" s="20"/>
      <c r="G2171" s="32">
        <f>SUM(G2138:G2170)-G2140-G2143-G2146-G2155-G2152-G2159-G2162-G2167</f>
        <v>744071.35000000009</v>
      </c>
      <c r="H2171" s="32">
        <f>SUM(H2138:H2170)-H2140-H2143-H2146-H2155-H2152-H2159-H2162-H2167</f>
        <v>502127.01</v>
      </c>
    </row>
    <row r="2172" spans="1:8" s="2" customFormat="1">
      <c r="A2172" s="5"/>
      <c r="C2172" s="2" t="s">
        <v>2234</v>
      </c>
      <c r="D2172" s="2">
        <v>110000</v>
      </c>
      <c r="E2172" s="20" t="s">
        <v>3058</v>
      </c>
      <c r="F2172" s="2">
        <v>710000</v>
      </c>
      <c r="G2172" s="32">
        <v>10748</v>
      </c>
      <c r="H2172" s="32">
        <v>10748</v>
      </c>
    </row>
    <row r="2173" spans="1:8" s="2" customFormat="1">
      <c r="A2173" s="5"/>
      <c r="C2173" s="8" t="s">
        <v>2235</v>
      </c>
      <c r="E2173" s="20"/>
      <c r="G2173" s="32">
        <f>G2171+G2172</f>
        <v>754819.35000000009</v>
      </c>
      <c r="H2173" s="32">
        <f>H2171+H2172</f>
        <v>512875.01</v>
      </c>
    </row>
    <row r="2174" spans="1:8" s="2" customFormat="1">
      <c r="A2174" s="10"/>
      <c r="E2174" s="20"/>
      <c r="G2174" s="32"/>
      <c r="H2174" s="32"/>
    </row>
    <row r="2175" spans="1:8" s="2" customFormat="1">
      <c r="A2175" s="5" t="s">
        <v>2506</v>
      </c>
      <c r="B2175" s="15" t="s">
        <v>802</v>
      </c>
      <c r="G2175" s="32"/>
      <c r="H2175" s="32"/>
    </row>
    <row r="2176" spans="1:8" s="2" customFormat="1">
      <c r="A2176" s="5"/>
      <c r="G2176" s="32"/>
      <c r="H2176" s="32"/>
    </row>
    <row r="2177" spans="1:8" s="2" customFormat="1">
      <c r="A2177" s="5"/>
      <c r="C2177" s="2" t="s">
        <v>2234</v>
      </c>
      <c r="D2177" s="2">
        <v>110000</v>
      </c>
      <c r="E2177" s="2">
        <v>640211</v>
      </c>
      <c r="F2177" s="2">
        <v>710000</v>
      </c>
      <c r="G2177" s="32">
        <v>1000</v>
      </c>
      <c r="H2177" s="32">
        <v>1000</v>
      </c>
    </row>
    <row r="2178" spans="1:8" s="2" customFormat="1">
      <c r="A2178" s="5"/>
      <c r="C2178" s="8" t="s">
        <v>2235</v>
      </c>
      <c r="G2178" s="32">
        <v>1000</v>
      </c>
      <c r="H2178" s="32">
        <v>1000</v>
      </c>
    </row>
    <row r="2179" spans="1:8" s="2" customFormat="1">
      <c r="A2179" s="5"/>
      <c r="G2179" s="32"/>
      <c r="H2179" s="32"/>
    </row>
    <row r="2180" spans="1:8" s="2" customFormat="1">
      <c r="A2180" s="6" t="s">
        <v>3059</v>
      </c>
      <c r="B2180" s="2" t="s">
        <v>2148</v>
      </c>
      <c r="D2180" s="26"/>
      <c r="G2180" s="32"/>
      <c r="H2180" s="32"/>
    </row>
    <row r="2181" spans="1:8" s="2" customFormat="1">
      <c r="D2181" s="26"/>
      <c r="G2181" s="32"/>
      <c r="H2181" s="32"/>
    </row>
    <row r="2182" spans="1:8" s="2" customFormat="1">
      <c r="A2182" s="5" t="s">
        <v>968</v>
      </c>
      <c r="B2182" s="2" t="s">
        <v>799</v>
      </c>
      <c r="C2182" s="2" t="s">
        <v>2106</v>
      </c>
      <c r="D2182" s="26">
        <v>110000</v>
      </c>
      <c r="E2182" s="2">
        <v>640210</v>
      </c>
      <c r="F2182" s="2">
        <v>610110</v>
      </c>
      <c r="G2182" s="32">
        <v>21104</v>
      </c>
      <c r="H2182" s="32">
        <v>0</v>
      </c>
    </row>
    <row r="2183" spans="1:8" s="2" customFormat="1">
      <c r="D2183" s="26">
        <v>166105</v>
      </c>
      <c r="E2183" s="2">
        <v>640100</v>
      </c>
      <c r="F2183" s="2">
        <v>610110</v>
      </c>
      <c r="G2183" s="32">
        <v>21030</v>
      </c>
      <c r="H2183" s="32">
        <v>0</v>
      </c>
    </row>
    <row r="2184" spans="1:8" s="2" customFormat="1">
      <c r="D2184" s="26"/>
      <c r="E2184" s="2" t="s">
        <v>2880</v>
      </c>
      <c r="G2184" s="32">
        <f>G2182+G2183</f>
        <v>42134</v>
      </c>
      <c r="H2184" s="32">
        <v>0</v>
      </c>
    </row>
    <row r="2185" spans="1:8" s="2" customFormat="1">
      <c r="A2185" s="5" t="s">
        <v>1288</v>
      </c>
      <c r="B2185" s="2" t="s">
        <v>2149</v>
      </c>
      <c r="C2185" s="2" t="s">
        <v>2106</v>
      </c>
      <c r="D2185" s="26">
        <v>110000</v>
      </c>
      <c r="E2185" s="2">
        <v>640212</v>
      </c>
      <c r="F2185" s="2">
        <v>610110</v>
      </c>
      <c r="G2185" s="32">
        <f>8985+252</f>
        <v>9237</v>
      </c>
      <c r="H2185" s="32">
        <f>8985+252</f>
        <v>9237</v>
      </c>
    </row>
    <row r="2186" spans="1:8" s="2" customFormat="1">
      <c r="A2186" s="5"/>
      <c r="D2186" s="26">
        <v>110000</v>
      </c>
      <c r="E2186" s="2">
        <v>640210</v>
      </c>
      <c r="F2186" s="2">
        <v>610000</v>
      </c>
      <c r="G2186" s="32">
        <f>4236+119</f>
        <v>4355</v>
      </c>
      <c r="H2186" s="32">
        <v>0</v>
      </c>
    </row>
    <row r="2187" spans="1:8" s="2" customFormat="1">
      <c r="A2187" s="5"/>
      <c r="D2187" s="26"/>
      <c r="G2187" s="32">
        <f>G2185+G2186</f>
        <v>13592</v>
      </c>
      <c r="H2187" s="32">
        <v>0</v>
      </c>
    </row>
    <row r="2188" spans="1:8" s="2" customFormat="1">
      <c r="A2188" s="5" t="s">
        <v>2150</v>
      </c>
      <c r="C2188" s="2" t="s">
        <v>2950</v>
      </c>
      <c r="D2188" s="26">
        <v>110000</v>
      </c>
      <c r="E2188" s="2">
        <v>640212</v>
      </c>
      <c r="F2188" s="2">
        <v>610000</v>
      </c>
      <c r="G2188" s="36"/>
      <c r="H2188" s="36"/>
    </row>
    <row r="2189" spans="1:8" s="2" customFormat="1">
      <c r="C2189" s="2" t="s">
        <v>2951</v>
      </c>
      <c r="D2189" s="26">
        <v>110000</v>
      </c>
      <c r="E2189" s="2">
        <v>640212</v>
      </c>
      <c r="F2189" s="2">
        <v>630000</v>
      </c>
      <c r="G2189" s="32">
        <f>(SUM(G2182:G2188)-G2184)*0.21</f>
        <v>14556.779999999999</v>
      </c>
      <c r="H2189" s="32">
        <f>(+H2182+H2183+H2184+H2185)*0.21</f>
        <v>1939.77</v>
      </c>
    </row>
    <row r="2190" spans="1:8" s="2" customFormat="1">
      <c r="C2190" s="8" t="s">
        <v>1129</v>
      </c>
      <c r="D2190" s="26"/>
      <c r="G2190" s="32">
        <f>SUM(G2182:G2189)-G2184</f>
        <v>83874.78</v>
      </c>
      <c r="H2190" s="32">
        <f>SUM(H2182:H2189)-H2184</f>
        <v>11176.77</v>
      </c>
    </row>
    <row r="2191" spans="1:8" s="2" customFormat="1">
      <c r="C2191" s="2" t="s">
        <v>2234</v>
      </c>
      <c r="D2191" s="26">
        <v>110000</v>
      </c>
      <c r="E2191" s="2">
        <v>640212</v>
      </c>
      <c r="F2191" s="2">
        <v>710000</v>
      </c>
      <c r="G2191" s="32">
        <v>22727</v>
      </c>
      <c r="H2191" s="32">
        <v>22727</v>
      </c>
    </row>
    <row r="2192" spans="1:8" s="2" customFormat="1">
      <c r="C2192" s="2" t="s">
        <v>2147</v>
      </c>
      <c r="D2192" s="26">
        <v>110000</v>
      </c>
      <c r="E2192" s="2">
        <v>640212</v>
      </c>
      <c r="F2192" s="2">
        <v>790700</v>
      </c>
      <c r="G2192" s="32">
        <f>H2192</f>
        <v>3390.3770000000004</v>
      </c>
      <c r="H2192" s="32">
        <f>(+H2190+H2191)*0.1</f>
        <v>3390.3770000000004</v>
      </c>
    </row>
    <row r="2193" spans="1:8" s="2" customFormat="1">
      <c r="C2193" s="8" t="s">
        <v>2235</v>
      </c>
      <c r="D2193" s="26"/>
      <c r="G2193" s="32">
        <f>SUM(G2190:G2192)</f>
        <v>109992.15700000001</v>
      </c>
      <c r="H2193" s="32">
        <f>SUM(H2190:H2192)</f>
        <v>37294.147000000004</v>
      </c>
    </row>
    <row r="2194" spans="1:8" s="2" customFormat="1">
      <c r="D2194" s="26"/>
      <c r="G2194" s="32"/>
      <c r="H2194" s="32"/>
    </row>
    <row r="2195" spans="1:8" s="2" customFormat="1">
      <c r="A2195" s="5" t="s">
        <v>3029</v>
      </c>
      <c r="B2195" s="2" t="s">
        <v>803</v>
      </c>
      <c r="G2195" s="32"/>
      <c r="H2195" s="32"/>
    </row>
    <row r="2196" spans="1:8" s="2" customFormat="1">
      <c r="A2196" s="5"/>
      <c r="G2196" s="32"/>
      <c r="H2196" s="32"/>
    </row>
    <row r="2197" spans="1:8" s="2" customFormat="1">
      <c r="A2197" s="6" t="s">
        <v>1289</v>
      </c>
      <c r="B2197" s="2" t="s">
        <v>804</v>
      </c>
      <c r="C2197" s="2" t="s">
        <v>1029</v>
      </c>
      <c r="D2197" s="2">
        <v>110000</v>
      </c>
      <c r="E2197" s="2">
        <v>640310</v>
      </c>
      <c r="F2197" s="2">
        <v>610110</v>
      </c>
      <c r="G2197" s="32">
        <f>66575+2063</f>
        <v>68638</v>
      </c>
      <c r="H2197" s="32">
        <f>66575+2063</f>
        <v>68638</v>
      </c>
    </row>
    <row r="2198" spans="1:8" s="2" customFormat="1">
      <c r="A2198" s="6" t="s">
        <v>1290</v>
      </c>
      <c r="B2198" s="2" t="s">
        <v>805</v>
      </c>
      <c r="C2198" s="2" t="s">
        <v>2490</v>
      </c>
      <c r="D2198" s="2">
        <v>110000</v>
      </c>
      <c r="E2198" s="2">
        <v>640310</v>
      </c>
      <c r="F2198" s="2">
        <v>610110</v>
      </c>
      <c r="G2198" s="32">
        <f>62950+1416</f>
        <v>64366</v>
      </c>
      <c r="H2198" s="32">
        <f>62950+1416</f>
        <v>64366</v>
      </c>
    </row>
    <row r="2199" spans="1:8" s="2" customFormat="1">
      <c r="A2199" s="6" t="s">
        <v>1291</v>
      </c>
      <c r="B2199" s="2" t="s">
        <v>806</v>
      </c>
      <c r="C2199" s="2" t="s">
        <v>2490</v>
      </c>
      <c r="D2199" s="2">
        <v>110000</v>
      </c>
      <c r="E2199" s="2">
        <v>640310</v>
      </c>
      <c r="F2199" s="2">
        <v>610110</v>
      </c>
      <c r="G2199" s="32">
        <f>47401+1500+1511</f>
        <v>50412</v>
      </c>
      <c r="H2199" s="32">
        <f>47401+1500+1511</f>
        <v>50412</v>
      </c>
    </row>
    <row r="2200" spans="1:8" s="2" customFormat="1">
      <c r="A2200" s="6" t="s">
        <v>1292</v>
      </c>
      <c r="B2200" s="2" t="s">
        <v>807</v>
      </c>
      <c r="C2200" s="2" t="s">
        <v>544</v>
      </c>
      <c r="D2200" s="2">
        <v>110000</v>
      </c>
      <c r="E2200" s="2">
        <v>640310</v>
      </c>
      <c r="F2200" s="2">
        <v>610110</v>
      </c>
      <c r="G2200" s="32">
        <f>37569+939</f>
        <v>38508</v>
      </c>
      <c r="H2200" s="32">
        <f>37569+939</f>
        <v>38508</v>
      </c>
    </row>
    <row r="2201" spans="1:8" s="2" customFormat="1">
      <c r="A2201" s="6" t="s">
        <v>1293</v>
      </c>
      <c r="B2201" s="2" t="s">
        <v>808</v>
      </c>
      <c r="C2201" s="2" t="s">
        <v>148</v>
      </c>
      <c r="D2201" s="2">
        <v>110000</v>
      </c>
      <c r="E2201" s="2">
        <v>640310</v>
      </c>
      <c r="F2201" s="2">
        <v>610110</v>
      </c>
      <c r="G2201" s="32">
        <f>35908+1426</f>
        <v>37334</v>
      </c>
      <c r="H2201" s="32">
        <f>35908+1426</f>
        <v>37334</v>
      </c>
    </row>
    <row r="2202" spans="1:8" s="2" customFormat="1">
      <c r="A2202" s="6" t="s">
        <v>1294</v>
      </c>
      <c r="B2202" s="2" t="s">
        <v>809</v>
      </c>
      <c r="C2202" s="2" t="s">
        <v>148</v>
      </c>
      <c r="D2202" s="2">
        <v>110000</v>
      </c>
      <c r="E2202" s="2">
        <v>640310</v>
      </c>
      <c r="F2202" s="2">
        <v>610110</v>
      </c>
      <c r="G2202" s="32">
        <f>34964+874</f>
        <v>35838</v>
      </c>
      <c r="H2202" s="32">
        <f>34964+874</f>
        <v>35838</v>
      </c>
    </row>
    <row r="2203" spans="1:8" s="2" customFormat="1">
      <c r="A2203" s="6" t="s">
        <v>352</v>
      </c>
      <c r="B2203" s="2" t="s">
        <v>2173</v>
      </c>
      <c r="C2203" s="2" t="s">
        <v>2174</v>
      </c>
      <c r="D2203" s="2">
        <v>110000</v>
      </c>
      <c r="E2203" s="2">
        <v>640310</v>
      </c>
      <c r="F2203" s="2">
        <v>610210</v>
      </c>
      <c r="G2203" s="32">
        <f>13232+377</f>
        <v>13609</v>
      </c>
      <c r="H2203" s="32">
        <f>13232+377</f>
        <v>13609</v>
      </c>
    </row>
    <row r="2204" spans="1:8" s="2" customFormat="1">
      <c r="A2204" s="6"/>
      <c r="D2204" s="2">
        <v>110000</v>
      </c>
      <c r="E2204" s="2">
        <v>320500</v>
      </c>
      <c r="F2204" s="2">
        <v>610210</v>
      </c>
      <c r="G2204" s="32">
        <f>40079+1142</f>
        <v>41221</v>
      </c>
      <c r="H2204" s="32"/>
    </row>
    <row r="2205" spans="1:8" s="2" customFormat="1">
      <c r="A2205" s="6"/>
      <c r="E2205" s="2" t="s">
        <v>2880</v>
      </c>
      <c r="G2205" s="32">
        <f>G2203+G2204</f>
        <v>54830</v>
      </c>
      <c r="H2205" s="32">
        <f>H2203+H2204</f>
        <v>13609</v>
      </c>
    </row>
    <row r="2206" spans="1:8" s="2" customFormat="1">
      <c r="A2206" s="6" t="s">
        <v>1295</v>
      </c>
      <c r="B2206" s="2" t="s">
        <v>810</v>
      </c>
      <c r="C2206" s="2" t="s">
        <v>1609</v>
      </c>
      <c r="D2206" s="2">
        <v>110000</v>
      </c>
      <c r="E2206" s="2">
        <v>640310</v>
      </c>
      <c r="F2206" s="2">
        <v>610410</v>
      </c>
      <c r="G2206" s="32">
        <f>18363+514</f>
        <v>18877</v>
      </c>
      <c r="H2206" s="32">
        <f>18363+514</f>
        <v>18877</v>
      </c>
    </row>
    <row r="2207" spans="1:8" s="2" customFormat="1">
      <c r="A2207" s="6"/>
      <c r="C2207" s="2" t="s">
        <v>1611</v>
      </c>
      <c r="D2207" s="2">
        <v>110000</v>
      </c>
      <c r="E2207" s="2">
        <v>640310</v>
      </c>
      <c r="F2207" s="2">
        <v>620000</v>
      </c>
      <c r="G2207" s="32">
        <v>5000</v>
      </c>
      <c r="H2207" s="32">
        <v>5000</v>
      </c>
    </row>
    <row r="2208" spans="1:8" s="2" customFormat="1">
      <c r="A2208" s="6"/>
      <c r="C2208" s="2" t="s">
        <v>2950</v>
      </c>
      <c r="D2208" s="2">
        <v>110000</v>
      </c>
      <c r="E2208" s="2">
        <v>640310</v>
      </c>
      <c r="F2208" s="2">
        <v>610000</v>
      </c>
      <c r="G2208" s="36"/>
      <c r="H2208" s="36"/>
    </row>
    <row r="2209" spans="1:8" s="2" customFormat="1">
      <c r="A2209" s="5"/>
      <c r="C2209" s="2" t="s">
        <v>2951</v>
      </c>
      <c r="D2209" s="2">
        <v>110000</v>
      </c>
      <c r="E2209" s="2">
        <v>640310</v>
      </c>
      <c r="F2209" s="2">
        <v>630000</v>
      </c>
      <c r="G2209" s="32">
        <f>(SUM(G2197:G2206)-G2205)*0.21+G2207*0.08</f>
        <v>77848.62999999999</v>
      </c>
      <c r="H2209" s="32">
        <f>(SUM(H2197:H2206)-H2205)*0.21+H2207*0.08</f>
        <v>69192.22</v>
      </c>
    </row>
    <row r="2210" spans="1:8" s="2" customFormat="1">
      <c r="A2210" s="5"/>
      <c r="C2210" s="8" t="s">
        <v>1129</v>
      </c>
      <c r="G2210" s="32">
        <f>SUM(G2197:G2209)-G2205</f>
        <v>451651.63</v>
      </c>
      <c r="H2210" s="32">
        <f>SUM(H2197:H2209)-H2205</f>
        <v>401774.22</v>
      </c>
    </row>
    <row r="2211" spans="1:8" s="2" customFormat="1">
      <c r="A2211" s="5"/>
      <c r="C2211" s="2" t="s">
        <v>2234</v>
      </c>
      <c r="D2211" s="2">
        <v>110000</v>
      </c>
      <c r="E2211" s="2">
        <v>640310</v>
      </c>
      <c r="F2211" s="2">
        <v>710000</v>
      </c>
      <c r="G2211" s="32">
        <v>9991</v>
      </c>
      <c r="H2211" s="32">
        <v>9991</v>
      </c>
    </row>
    <row r="2212" spans="1:8" s="2" customFormat="1">
      <c r="A2212" s="5"/>
      <c r="C2212" s="8" t="s">
        <v>2235</v>
      </c>
      <c r="G2212" s="32">
        <f>G2210+G2211</f>
        <v>461642.63</v>
      </c>
      <c r="H2212" s="32">
        <f>H2210+H2211</f>
        <v>411765.22</v>
      </c>
    </row>
    <row r="2213" spans="1:8" s="2" customFormat="1">
      <c r="A2213" s="5"/>
      <c r="G2213" s="32"/>
      <c r="H2213" s="32"/>
    </row>
    <row r="2214" spans="1:8" s="2" customFormat="1">
      <c r="A2214" s="15">
        <v>640310</v>
      </c>
      <c r="B2214" s="2" t="s">
        <v>2080</v>
      </c>
      <c r="D2214" s="26"/>
      <c r="G2214" s="32"/>
      <c r="H2214" s="32"/>
    </row>
    <row r="2215" spans="1:8" s="2" customFormat="1">
      <c r="A2215" s="15"/>
      <c r="D2215" s="26"/>
      <c r="G2215" s="32"/>
      <c r="H2215" s="32"/>
    </row>
    <row r="2216" spans="1:8" s="2" customFormat="1">
      <c r="A2216" s="15"/>
      <c r="C2216" s="2" t="s">
        <v>2081</v>
      </c>
      <c r="D2216" s="26">
        <v>110000</v>
      </c>
      <c r="E2216" s="2">
        <v>640310</v>
      </c>
      <c r="F2216" s="2">
        <v>710000</v>
      </c>
      <c r="G2216" s="32">
        <v>18114</v>
      </c>
      <c r="H2216" s="32">
        <v>18114</v>
      </c>
    </row>
    <row r="2217" spans="1:8" s="2" customFormat="1">
      <c r="A2217" s="15"/>
      <c r="C2217" s="8" t="s">
        <v>2235</v>
      </c>
      <c r="D2217" s="26"/>
      <c r="G2217" s="32">
        <f>G2216</f>
        <v>18114</v>
      </c>
      <c r="H2217" s="32">
        <f>H2216</f>
        <v>18114</v>
      </c>
    </row>
    <row r="2218" spans="1:8" s="2" customFormat="1">
      <c r="A2218" s="15"/>
      <c r="D2218" s="26"/>
      <c r="G2218" s="32"/>
      <c r="H2218" s="32"/>
    </row>
    <row r="2219" spans="1:8" s="2" customFormat="1">
      <c r="A2219" s="5" t="s">
        <v>2507</v>
      </c>
      <c r="B2219" s="2" t="s">
        <v>501</v>
      </c>
      <c r="G2219" s="32"/>
      <c r="H2219" s="32"/>
    </row>
    <row r="2220" spans="1:8" s="2" customFormat="1">
      <c r="A2220" s="5"/>
      <c r="G2220" s="32"/>
      <c r="H2220" s="32"/>
    </row>
    <row r="2221" spans="1:8" s="2" customFormat="1">
      <c r="A2221" s="6" t="s">
        <v>1296</v>
      </c>
      <c r="B2221" s="2" t="s">
        <v>281</v>
      </c>
      <c r="C2221" s="2" t="s">
        <v>1029</v>
      </c>
      <c r="D2221" s="2">
        <v>110000</v>
      </c>
      <c r="E2221" s="2">
        <v>640410</v>
      </c>
      <c r="F2221" s="2">
        <v>610110</v>
      </c>
      <c r="G2221" s="32">
        <f>76644+2222</f>
        <v>78866</v>
      </c>
      <c r="H2221" s="32">
        <f>76644+2222</f>
        <v>78866</v>
      </c>
    </row>
    <row r="2222" spans="1:8" s="2" customFormat="1">
      <c r="A2222" s="6" t="s">
        <v>1297</v>
      </c>
      <c r="B2222" s="2" t="s">
        <v>444</v>
      </c>
      <c r="C2222" s="2" t="s">
        <v>2490</v>
      </c>
      <c r="D2222" s="2">
        <v>110000</v>
      </c>
      <c r="E2222" s="2">
        <v>640410</v>
      </c>
      <c r="F2222" s="2">
        <v>610110</v>
      </c>
      <c r="G2222" s="32">
        <f>73798+2066</f>
        <v>75864</v>
      </c>
      <c r="H2222" s="32">
        <f>73798+2066</f>
        <v>75864</v>
      </c>
    </row>
    <row r="2223" spans="1:8" s="2" customFormat="1">
      <c r="A2223" s="6" t="s">
        <v>1298</v>
      </c>
      <c r="B2223" s="2" t="s">
        <v>445</v>
      </c>
      <c r="C2223" s="2" t="s">
        <v>2490</v>
      </c>
      <c r="D2223" s="2">
        <v>110000</v>
      </c>
      <c r="E2223" s="2">
        <v>640410</v>
      </c>
      <c r="F2223" s="2">
        <v>610110</v>
      </c>
      <c r="G2223" s="32">
        <f>74864+2096</f>
        <v>76960</v>
      </c>
      <c r="H2223" s="32">
        <f>74864+2096</f>
        <v>76960</v>
      </c>
    </row>
    <row r="2224" spans="1:8" s="2" customFormat="1">
      <c r="A2224" s="6" t="s">
        <v>1299</v>
      </c>
      <c r="B2224" s="2" t="s">
        <v>446</v>
      </c>
      <c r="C2224" s="2" t="s">
        <v>161</v>
      </c>
      <c r="G2224" s="32">
        <v>62885</v>
      </c>
      <c r="H2224" s="32"/>
    </row>
    <row r="2225" spans="1:8" s="2" customFormat="1">
      <c r="A2225" s="6" t="s">
        <v>912</v>
      </c>
      <c r="B2225" s="2" t="s">
        <v>447</v>
      </c>
      <c r="C2225" s="2" t="s">
        <v>2170</v>
      </c>
      <c r="G2225" s="32">
        <v>46898</v>
      </c>
      <c r="H2225" s="32"/>
    </row>
    <row r="2226" spans="1:8" s="2" customFormat="1">
      <c r="A2226" s="6" t="s">
        <v>913</v>
      </c>
      <c r="B2226" s="2" t="s">
        <v>448</v>
      </c>
      <c r="C2226" s="2" t="s">
        <v>2170</v>
      </c>
      <c r="G2226" s="32">
        <v>47059</v>
      </c>
      <c r="H2226" s="32"/>
    </row>
    <row r="2227" spans="1:8" s="2" customFormat="1">
      <c r="A2227" s="6" t="s">
        <v>1300</v>
      </c>
      <c r="B2227" s="2" t="s">
        <v>1066</v>
      </c>
      <c r="C2227" s="2" t="s">
        <v>1609</v>
      </c>
      <c r="D2227" s="2">
        <v>110000</v>
      </c>
      <c r="E2227" s="2">
        <v>640410</v>
      </c>
      <c r="F2227" s="2">
        <v>610410</v>
      </c>
      <c r="G2227" s="32">
        <f>17475+489</f>
        <v>17964</v>
      </c>
      <c r="H2227" s="32">
        <f>17475+489</f>
        <v>17964</v>
      </c>
    </row>
    <row r="2228" spans="1:8" s="2" customFormat="1">
      <c r="A2228" s="6"/>
      <c r="B2228" s="2" t="s">
        <v>1970</v>
      </c>
      <c r="C2228" s="2" t="s">
        <v>148</v>
      </c>
      <c r="D2228" s="2">
        <v>110000</v>
      </c>
      <c r="E2228" s="2">
        <v>640410</v>
      </c>
      <c r="F2228" s="2">
        <v>610110</v>
      </c>
      <c r="G2228" s="32">
        <v>54000</v>
      </c>
      <c r="H2228" s="32">
        <v>54000</v>
      </c>
    </row>
    <row r="2229" spans="1:8" s="2" customFormat="1">
      <c r="A2229" s="6"/>
      <c r="C2229" s="2" t="s">
        <v>1611</v>
      </c>
      <c r="D2229" s="2">
        <v>110000</v>
      </c>
      <c r="E2229" s="2">
        <v>640410</v>
      </c>
      <c r="F2229" s="2">
        <v>620000</v>
      </c>
      <c r="G2229" s="32">
        <v>1000</v>
      </c>
      <c r="H2229" s="32">
        <v>1000</v>
      </c>
    </row>
    <row r="2230" spans="1:8" s="2" customFormat="1">
      <c r="A2230" s="6"/>
      <c r="C2230" s="2" t="s">
        <v>2950</v>
      </c>
      <c r="D2230" s="2">
        <v>110000</v>
      </c>
      <c r="E2230" s="2">
        <v>640410</v>
      </c>
      <c r="F2230" s="2">
        <v>610000</v>
      </c>
      <c r="G2230" s="36"/>
      <c r="H2230" s="36"/>
    </row>
    <row r="2231" spans="1:8" s="2" customFormat="1">
      <c r="A2231" s="6"/>
      <c r="C2231" s="2" t="s">
        <v>2951</v>
      </c>
      <c r="D2231" s="2">
        <v>110000</v>
      </c>
      <c r="E2231" s="2">
        <v>640410</v>
      </c>
      <c r="F2231" s="2">
        <v>630000</v>
      </c>
      <c r="G2231" s="32">
        <f>SUM(G2221:G2230)*0.2</f>
        <v>92299.200000000012</v>
      </c>
      <c r="H2231" s="32">
        <f>SUM(H2221:H2230)*0.2</f>
        <v>60930.8</v>
      </c>
    </row>
    <row r="2232" spans="1:8" s="2" customFormat="1">
      <c r="A2232" s="5"/>
      <c r="C2232" s="8" t="s">
        <v>1129</v>
      </c>
      <c r="G2232" s="32">
        <f>SUM(G2221:G2231)</f>
        <v>553795.19999999995</v>
      </c>
      <c r="H2232" s="32">
        <f>SUM(H2221:H2231)</f>
        <v>365584.8</v>
      </c>
    </row>
    <row r="2233" spans="1:8" s="2" customFormat="1">
      <c r="A2233" s="6"/>
      <c r="C2233" s="2" t="s">
        <v>2234</v>
      </c>
      <c r="D2233" s="2">
        <v>110000</v>
      </c>
      <c r="E2233" s="2">
        <v>640410</v>
      </c>
      <c r="F2233" s="2">
        <v>710000</v>
      </c>
      <c r="G2233" s="32">
        <v>10906</v>
      </c>
      <c r="H2233" s="32">
        <v>10906</v>
      </c>
    </row>
    <row r="2234" spans="1:8" s="2" customFormat="1">
      <c r="A2234" s="6"/>
      <c r="C2234" s="8" t="s">
        <v>2235</v>
      </c>
      <c r="G2234" s="32">
        <f>G2232+G2233</f>
        <v>564701.19999999995</v>
      </c>
      <c r="H2234" s="32">
        <f>H2232+H2233</f>
        <v>376490.8</v>
      </c>
    </row>
    <row r="2235" spans="1:8" s="2" customFormat="1">
      <c r="A2235" s="6"/>
      <c r="C2235" s="8"/>
      <c r="G2235" s="32"/>
      <c r="H2235" s="32"/>
    </row>
    <row r="2236" spans="1:8" s="2" customFormat="1">
      <c r="A2236" s="5" t="s">
        <v>3050</v>
      </c>
      <c r="B2236" s="2" t="s">
        <v>1433</v>
      </c>
      <c r="E2236" s="20"/>
      <c r="G2236" s="32"/>
      <c r="H2236" s="32"/>
    </row>
    <row r="2237" spans="1:8" s="2" customFormat="1">
      <c r="A2237" s="5"/>
      <c r="E2237" s="20"/>
      <c r="G2237" s="32"/>
      <c r="H2237" s="32"/>
    </row>
    <row r="2238" spans="1:8" s="2" customFormat="1">
      <c r="A2238" s="5" t="s">
        <v>2046</v>
      </c>
      <c r="B2238" s="2" t="s">
        <v>73</v>
      </c>
      <c r="C2238" s="2" t="s">
        <v>2667</v>
      </c>
      <c r="D2238" s="2">
        <v>110000</v>
      </c>
      <c r="E2238" s="20" t="s">
        <v>3051</v>
      </c>
      <c r="F2238" s="2">
        <v>610110</v>
      </c>
      <c r="G2238" s="32">
        <v>73513</v>
      </c>
      <c r="H2238" s="32"/>
    </row>
    <row r="2239" spans="1:8" s="2" customFormat="1">
      <c r="A2239" s="5" t="s">
        <v>1229</v>
      </c>
      <c r="B2239" s="2" t="s">
        <v>74</v>
      </c>
      <c r="C2239" s="2" t="s">
        <v>1024</v>
      </c>
      <c r="D2239" s="2">
        <v>110000</v>
      </c>
      <c r="E2239" s="20" t="s">
        <v>3051</v>
      </c>
      <c r="F2239" s="2">
        <v>610110</v>
      </c>
      <c r="G2239" s="32">
        <v>69879</v>
      </c>
      <c r="H2239" s="32"/>
    </row>
    <row r="2240" spans="1:8" s="2" customFormat="1">
      <c r="A2240" s="5" t="s">
        <v>1230</v>
      </c>
      <c r="B2240" s="2" t="s">
        <v>75</v>
      </c>
      <c r="C2240" s="2" t="s">
        <v>148</v>
      </c>
      <c r="D2240" s="2">
        <v>110000</v>
      </c>
      <c r="E2240" s="20" t="s">
        <v>3050</v>
      </c>
      <c r="F2240" s="2">
        <v>610110</v>
      </c>
      <c r="G2240" s="32">
        <f>44599+1993</f>
        <v>46592</v>
      </c>
      <c r="H2240" s="32">
        <f>44599+1993</f>
        <v>46592</v>
      </c>
    </row>
    <row r="2241" spans="1:8" s="2" customFormat="1">
      <c r="A2241" s="5" t="s">
        <v>1231</v>
      </c>
      <c r="B2241" s="2" t="s">
        <v>1376</v>
      </c>
      <c r="C2241" s="2" t="s">
        <v>2490</v>
      </c>
      <c r="D2241" s="2">
        <v>110000</v>
      </c>
      <c r="E2241" s="20" t="s">
        <v>3050</v>
      </c>
      <c r="F2241" s="2">
        <v>610110</v>
      </c>
      <c r="G2241" s="32">
        <f>51906+1349</f>
        <v>53255</v>
      </c>
      <c r="H2241" s="32">
        <f>51906+1349</f>
        <v>53255</v>
      </c>
    </row>
    <row r="2242" spans="1:8" s="2" customFormat="1">
      <c r="A2242" s="5" t="s">
        <v>1232</v>
      </c>
      <c r="B2242" s="2" t="s">
        <v>1377</v>
      </c>
      <c r="C2242" s="2" t="s">
        <v>2490</v>
      </c>
      <c r="D2242" s="2">
        <v>110000</v>
      </c>
      <c r="E2242" s="20" t="s">
        <v>3051</v>
      </c>
      <c r="F2242" s="2">
        <v>610110</v>
      </c>
      <c r="G2242" s="32">
        <f>77501+2170</f>
        <v>79671</v>
      </c>
      <c r="H2242" s="32"/>
    </row>
    <row r="2243" spans="1:8" s="2" customFormat="1">
      <c r="A2243" s="6" t="s">
        <v>1233</v>
      </c>
      <c r="B2243" s="2" t="s">
        <v>0</v>
      </c>
      <c r="C2243" s="2" t="s">
        <v>2490</v>
      </c>
      <c r="D2243" s="2">
        <v>110000</v>
      </c>
      <c r="E2243" s="20" t="s">
        <v>3050</v>
      </c>
      <c r="F2243" s="2">
        <v>610110</v>
      </c>
      <c r="G2243" s="32">
        <f>59146+1715</f>
        <v>60861</v>
      </c>
      <c r="H2243" s="32">
        <f>59146+1715</f>
        <v>60861</v>
      </c>
    </row>
    <row r="2244" spans="1:8" s="2" customFormat="1">
      <c r="A2244" s="5" t="s">
        <v>1234</v>
      </c>
      <c r="B2244" s="2" t="s">
        <v>1</v>
      </c>
      <c r="C2244" s="2" t="s">
        <v>2170</v>
      </c>
      <c r="D2244" s="2">
        <v>110000</v>
      </c>
      <c r="E2244" s="20" t="s">
        <v>3051</v>
      </c>
      <c r="F2244" s="2">
        <v>610210</v>
      </c>
      <c r="G2244" s="32">
        <f>37372+1083</f>
        <v>38455</v>
      </c>
      <c r="H2244" s="32"/>
    </row>
    <row r="2245" spans="1:8" s="2" customFormat="1">
      <c r="A2245" s="5" t="s">
        <v>1235</v>
      </c>
      <c r="B2245" s="2" t="s">
        <v>2</v>
      </c>
      <c r="C2245" s="2" t="s">
        <v>2170</v>
      </c>
      <c r="D2245" s="2">
        <v>110000</v>
      </c>
      <c r="E2245" s="20" t="s">
        <v>3051</v>
      </c>
      <c r="F2245" s="2">
        <v>610210</v>
      </c>
      <c r="G2245" s="32">
        <f>37026+1073</f>
        <v>38099</v>
      </c>
      <c r="H2245" s="32"/>
    </row>
    <row r="2246" spans="1:8" s="2" customFormat="1">
      <c r="A2246" s="5" t="s">
        <v>1236</v>
      </c>
      <c r="B2246" s="2" t="s">
        <v>3</v>
      </c>
      <c r="C2246" s="2" t="s">
        <v>2170</v>
      </c>
      <c r="D2246" s="2">
        <v>110000</v>
      </c>
      <c r="E2246" s="20" t="s">
        <v>3051</v>
      </c>
      <c r="F2246" s="2">
        <v>610210</v>
      </c>
      <c r="G2246" s="32">
        <f>47626+1262</f>
        <v>48888</v>
      </c>
      <c r="H2246" s="32"/>
    </row>
    <row r="2247" spans="1:8" s="2" customFormat="1">
      <c r="A2247" s="5" t="s">
        <v>1237</v>
      </c>
      <c r="B2247" s="2" t="s">
        <v>4</v>
      </c>
      <c r="C2247" s="2" t="s">
        <v>1608</v>
      </c>
      <c r="E2247" s="20"/>
      <c r="G2247" s="32">
        <v>26520</v>
      </c>
      <c r="H2247" s="32"/>
    </row>
    <row r="2248" spans="1:8" s="2" customFormat="1">
      <c r="A2248" s="5" t="s">
        <v>910</v>
      </c>
      <c r="B2248" s="2" t="s">
        <v>567</v>
      </c>
      <c r="C2248" s="2" t="s">
        <v>2170</v>
      </c>
      <c r="D2248" s="2">
        <v>235021</v>
      </c>
      <c r="E2248" s="20" t="s">
        <v>967</v>
      </c>
      <c r="F2248" s="2">
        <v>610210</v>
      </c>
      <c r="G2248" s="32">
        <v>15000</v>
      </c>
      <c r="H2248" s="32"/>
    </row>
    <row r="2249" spans="1:8" s="2" customFormat="1">
      <c r="A2249" s="5" t="s">
        <v>1238</v>
      </c>
      <c r="B2249" s="2" t="s">
        <v>1586</v>
      </c>
      <c r="C2249" s="2" t="s">
        <v>1608</v>
      </c>
      <c r="D2249" s="2">
        <v>110000</v>
      </c>
      <c r="E2249" s="20" t="s">
        <v>3051</v>
      </c>
      <c r="F2249" s="2">
        <v>610210</v>
      </c>
      <c r="G2249" s="32">
        <f>23040+645</f>
        <v>23685</v>
      </c>
      <c r="H2249" s="32"/>
    </row>
    <row r="2250" spans="1:8" s="2" customFormat="1">
      <c r="A2250" s="5"/>
      <c r="D2250" s="2">
        <v>166130</v>
      </c>
      <c r="E2250" s="20" t="s">
        <v>3052</v>
      </c>
      <c r="F2250" s="2">
        <v>610210</v>
      </c>
      <c r="G2250" s="32">
        <v>2560</v>
      </c>
      <c r="H2250" s="32"/>
    </row>
    <row r="2251" spans="1:8" s="2" customFormat="1">
      <c r="A2251" s="5"/>
      <c r="E2251" s="2" t="s">
        <v>2880</v>
      </c>
      <c r="G2251" s="32">
        <f>G2249+G2250</f>
        <v>26245</v>
      </c>
      <c r="H2251" s="32"/>
    </row>
    <row r="2252" spans="1:8" s="2" customFormat="1">
      <c r="A2252" s="5" t="s">
        <v>1239</v>
      </c>
      <c r="B2252" s="2" t="s">
        <v>5</v>
      </c>
      <c r="C2252" s="2" t="s">
        <v>1613</v>
      </c>
      <c r="D2252" s="2">
        <v>110000</v>
      </c>
      <c r="E2252" s="20" t="s">
        <v>3051</v>
      </c>
      <c r="F2252" s="2">
        <v>610410</v>
      </c>
      <c r="G2252" s="32">
        <f>21460+601</f>
        <v>22061</v>
      </c>
      <c r="H2252" s="32"/>
    </row>
    <row r="2253" spans="1:8" s="2" customFormat="1">
      <c r="A2253" s="5" t="s">
        <v>1240</v>
      </c>
      <c r="B2253" s="2" t="s">
        <v>6</v>
      </c>
      <c r="C2253" s="2" t="s">
        <v>1609</v>
      </c>
      <c r="D2253" s="2">
        <v>110000</v>
      </c>
      <c r="E2253" s="20" t="s">
        <v>3050</v>
      </c>
      <c r="F2253" s="2">
        <v>610410</v>
      </c>
      <c r="G2253" s="32">
        <f>15799+442</f>
        <v>16241</v>
      </c>
      <c r="H2253" s="32">
        <f>15799+442</f>
        <v>16241</v>
      </c>
    </row>
    <row r="2254" spans="1:8" s="2" customFormat="1">
      <c r="A2254" s="5" t="s">
        <v>1241</v>
      </c>
      <c r="B2254" s="2" t="s">
        <v>1631</v>
      </c>
      <c r="C2254" s="2" t="s">
        <v>1609</v>
      </c>
      <c r="D2254" s="2">
        <v>110000</v>
      </c>
      <c r="E2254" s="20" t="s">
        <v>3051</v>
      </c>
      <c r="F2254" s="2">
        <v>610410</v>
      </c>
      <c r="G2254" s="32">
        <f>15799+442</f>
        <v>16241</v>
      </c>
      <c r="H2254" s="32"/>
    </row>
    <row r="2255" spans="1:8" s="2" customFormat="1">
      <c r="A2255" s="5" t="s">
        <v>911</v>
      </c>
      <c r="B2255" s="2" t="s">
        <v>568</v>
      </c>
      <c r="C2255" s="2" t="s">
        <v>1608</v>
      </c>
      <c r="D2255" s="2">
        <v>253021</v>
      </c>
      <c r="E2255" s="20" t="s">
        <v>967</v>
      </c>
      <c r="F2255" s="2">
        <v>610210</v>
      </c>
      <c r="G2255" s="32">
        <v>32000</v>
      </c>
      <c r="H2255" s="32"/>
    </row>
    <row r="2256" spans="1:8" s="2" customFormat="1">
      <c r="A2256" s="5"/>
      <c r="C2256" s="2" t="s">
        <v>1611</v>
      </c>
      <c r="D2256" s="2">
        <v>110000</v>
      </c>
      <c r="E2256" s="20" t="s">
        <v>3050</v>
      </c>
      <c r="F2256" s="2">
        <v>620000</v>
      </c>
      <c r="G2256" s="32"/>
      <c r="H2256" s="32"/>
    </row>
    <row r="2257" spans="1:8" s="2" customFormat="1">
      <c r="A2257" s="5"/>
      <c r="C2257" s="2" t="s">
        <v>2950</v>
      </c>
      <c r="D2257" s="2">
        <v>110000</v>
      </c>
      <c r="E2257" s="20" t="s">
        <v>3050</v>
      </c>
      <c r="F2257" s="2">
        <v>610000</v>
      </c>
      <c r="G2257" s="36"/>
      <c r="H2257" s="36"/>
    </row>
    <row r="2258" spans="1:8" s="2" customFormat="1">
      <c r="A2258" s="5"/>
      <c r="C2258" s="2" t="s">
        <v>2951</v>
      </c>
      <c r="D2258" s="2">
        <v>110000</v>
      </c>
      <c r="E2258" s="20" t="s">
        <v>3050</v>
      </c>
      <c r="F2258" s="2">
        <v>630000</v>
      </c>
      <c r="G2258" s="32">
        <f>(SUM(G2238:G2257)-G2251)*0.18</f>
        <v>119433.78</v>
      </c>
      <c r="H2258" s="32">
        <f>(SUM(H2238:H2257)-H2251)*0.18</f>
        <v>31850.82</v>
      </c>
    </row>
    <row r="2259" spans="1:8" s="2" customFormat="1">
      <c r="A2259" s="5"/>
      <c r="C2259" s="8" t="s">
        <v>1129</v>
      </c>
      <c r="E2259" s="20"/>
      <c r="G2259" s="32">
        <f>SUM(G2238:G2258)-G2251</f>
        <v>782954.78</v>
      </c>
      <c r="H2259" s="32">
        <f>SUM(H2238:H2258)-H2251</f>
        <v>208799.82</v>
      </c>
    </row>
    <row r="2260" spans="1:8" s="2" customFormat="1">
      <c r="A2260" s="5"/>
      <c r="C2260" s="2" t="s">
        <v>2234</v>
      </c>
      <c r="D2260" s="2">
        <v>110000</v>
      </c>
      <c r="E2260" s="20" t="s">
        <v>3050</v>
      </c>
      <c r="F2260" s="2">
        <v>710000</v>
      </c>
      <c r="G2260" s="32">
        <v>5100</v>
      </c>
      <c r="H2260" s="32">
        <v>5100</v>
      </c>
    </row>
    <row r="2261" spans="1:8" s="2" customFormat="1">
      <c r="A2261" s="5"/>
      <c r="C2261" s="8" t="s">
        <v>2235</v>
      </c>
      <c r="E2261" s="20"/>
      <c r="G2261" s="32">
        <f>G2259+G2260</f>
        <v>788054.78</v>
      </c>
      <c r="H2261" s="32">
        <f>H2259+H2260</f>
        <v>213899.82</v>
      </c>
    </row>
    <row r="2262" spans="1:8" s="2" customFormat="1">
      <c r="A2262" s="5"/>
      <c r="C2262" s="8"/>
      <c r="E2262" s="20"/>
      <c r="G2262" s="32"/>
      <c r="H2262" s="32"/>
    </row>
    <row r="2263" spans="1:8" s="2" customFormat="1">
      <c r="A2263" s="6" t="s">
        <v>3051</v>
      </c>
      <c r="B2263" s="2" t="s">
        <v>884</v>
      </c>
      <c r="D2263" s="26"/>
      <c r="G2263" s="32"/>
      <c r="H2263" s="32"/>
    </row>
    <row r="2264" spans="1:8" s="2" customFormat="1">
      <c r="D2264" s="26"/>
      <c r="G2264" s="32"/>
      <c r="H2264" s="32"/>
    </row>
    <row r="2265" spans="1:8" s="2" customFormat="1">
      <c r="A2265" s="5" t="s">
        <v>2046</v>
      </c>
      <c r="B2265" s="2" t="s">
        <v>73</v>
      </c>
      <c r="C2265" s="2" t="s">
        <v>2667</v>
      </c>
      <c r="D2265" s="26">
        <v>110000</v>
      </c>
      <c r="E2265" s="2">
        <v>640512</v>
      </c>
      <c r="F2265" s="2">
        <v>610110</v>
      </c>
      <c r="G2265" s="32">
        <f>73513+2132</f>
        <v>75645</v>
      </c>
      <c r="H2265" s="32">
        <f>73513+2132</f>
        <v>75645</v>
      </c>
    </row>
    <row r="2266" spans="1:8" s="2" customFormat="1">
      <c r="A2266" s="5" t="s">
        <v>1229</v>
      </c>
      <c r="B2266" s="2" t="s">
        <v>74</v>
      </c>
      <c r="C2266" s="2" t="s">
        <v>1024</v>
      </c>
      <c r="D2266" s="26">
        <v>110000</v>
      </c>
      <c r="E2266" s="2">
        <v>640512</v>
      </c>
      <c r="F2266" s="2">
        <v>610110</v>
      </c>
      <c r="G2266" s="32">
        <f>69879+2027</f>
        <v>71906</v>
      </c>
      <c r="H2266" s="32">
        <f>69879+2027</f>
        <v>71906</v>
      </c>
    </row>
    <row r="2267" spans="1:8" s="2" customFormat="1">
      <c r="A2267" s="5" t="s">
        <v>1230</v>
      </c>
      <c r="B2267" s="2" t="s">
        <v>75</v>
      </c>
      <c r="C2267" s="2" t="s">
        <v>148</v>
      </c>
      <c r="D2267" s="26">
        <v>110000</v>
      </c>
      <c r="E2267" s="2">
        <v>640511</v>
      </c>
      <c r="F2267" s="2">
        <v>610110</v>
      </c>
      <c r="G2267" s="32">
        <f>44599+1993</f>
        <v>46592</v>
      </c>
      <c r="H2267" s="32"/>
    </row>
    <row r="2268" spans="1:8" s="2" customFormat="1">
      <c r="A2268" s="5" t="s">
        <v>1231</v>
      </c>
      <c r="B2268" s="2" t="s">
        <v>1376</v>
      </c>
      <c r="C2268" s="2" t="s">
        <v>2490</v>
      </c>
      <c r="D2268" s="26">
        <v>110000</v>
      </c>
      <c r="E2268" s="2">
        <v>640511</v>
      </c>
      <c r="F2268" s="2">
        <v>610110</v>
      </c>
      <c r="G2268" s="32">
        <f>51906+1349</f>
        <v>53255</v>
      </c>
      <c r="H2268" s="32"/>
    </row>
    <row r="2269" spans="1:8" s="2" customFormat="1">
      <c r="A2269" s="5" t="s">
        <v>1232</v>
      </c>
      <c r="B2269" s="2" t="s">
        <v>1377</v>
      </c>
      <c r="C2269" s="2" t="s">
        <v>2490</v>
      </c>
      <c r="D2269" s="26">
        <v>110000</v>
      </c>
      <c r="E2269" s="2">
        <v>640512</v>
      </c>
      <c r="F2269" s="2">
        <v>610110</v>
      </c>
      <c r="G2269" s="32">
        <f>77501+2170</f>
        <v>79671</v>
      </c>
      <c r="H2269" s="32">
        <f>77501+2170</f>
        <v>79671</v>
      </c>
    </row>
    <row r="2270" spans="1:8" s="2" customFormat="1">
      <c r="A2270" s="5" t="s">
        <v>1233</v>
      </c>
      <c r="B2270" s="2" t="s">
        <v>0</v>
      </c>
      <c r="C2270" s="2" t="s">
        <v>2490</v>
      </c>
      <c r="D2270" s="26">
        <v>110000</v>
      </c>
      <c r="E2270" s="2">
        <v>640511</v>
      </c>
      <c r="F2270" s="2">
        <v>610110</v>
      </c>
      <c r="G2270" s="32">
        <f>59146+1715</f>
        <v>60861</v>
      </c>
      <c r="H2270" s="32"/>
    </row>
    <row r="2271" spans="1:8" s="2" customFormat="1">
      <c r="A2271" s="5" t="s">
        <v>1236</v>
      </c>
      <c r="B2271" s="2" t="s">
        <v>3</v>
      </c>
      <c r="C2271" s="2" t="s">
        <v>2170</v>
      </c>
      <c r="D2271" s="26">
        <v>110000</v>
      </c>
      <c r="E2271" s="2">
        <v>640512</v>
      </c>
      <c r="F2271" s="2">
        <v>610210</v>
      </c>
      <c r="G2271" s="32">
        <f>47626+1262</f>
        <v>48888</v>
      </c>
      <c r="H2271" s="32">
        <f>47626+1262</f>
        <v>48888</v>
      </c>
    </row>
    <row r="2272" spans="1:8" s="2" customFormat="1">
      <c r="A2272" s="5" t="s">
        <v>1234</v>
      </c>
      <c r="B2272" s="2" t="s">
        <v>1</v>
      </c>
      <c r="C2272" s="2" t="s">
        <v>2170</v>
      </c>
      <c r="D2272" s="26">
        <v>110000</v>
      </c>
      <c r="E2272" s="2">
        <v>640512</v>
      </c>
      <c r="F2272" s="2">
        <v>610210</v>
      </c>
      <c r="G2272" s="32">
        <f>37372+1083</f>
        <v>38455</v>
      </c>
      <c r="H2272" s="32">
        <f>37372+1083</f>
        <v>38455</v>
      </c>
    </row>
    <row r="2273" spans="1:8" s="2" customFormat="1">
      <c r="A2273" s="5" t="s">
        <v>1235</v>
      </c>
      <c r="B2273" s="2" t="s">
        <v>2</v>
      </c>
      <c r="C2273" s="2" t="s">
        <v>2170</v>
      </c>
      <c r="D2273" s="26">
        <v>110000</v>
      </c>
      <c r="E2273" s="2">
        <v>640512</v>
      </c>
      <c r="F2273" s="2">
        <v>610210</v>
      </c>
      <c r="G2273" s="32">
        <f>37026+1073</f>
        <v>38099</v>
      </c>
      <c r="H2273" s="32">
        <f>37026+1073</f>
        <v>38099</v>
      </c>
    </row>
    <row r="2274" spans="1:8" s="2" customFormat="1">
      <c r="A2274" s="5" t="s">
        <v>1237</v>
      </c>
      <c r="B2274" s="2" t="s">
        <v>4</v>
      </c>
      <c r="C2274" s="2" t="s">
        <v>1608</v>
      </c>
      <c r="D2274" s="26"/>
      <c r="G2274" s="32">
        <v>26520</v>
      </c>
      <c r="H2274" s="32"/>
    </row>
    <row r="2275" spans="1:8" s="2" customFormat="1">
      <c r="A2275" s="5" t="s">
        <v>928</v>
      </c>
      <c r="C2275" s="2" t="s">
        <v>2170</v>
      </c>
      <c r="D2275" s="26"/>
      <c r="G2275" s="32">
        <v>18029</v>
      </c>
      <c r="H2275" s="32"/>
    </row>
    <row r="2276" spans="1:8" s="2" customFormat="1">
      <c r="A2276" s="5" t="s">
        <v>1238</v>
      </c>
      <c r="B2276" s="2" t="s">
        <v>1586</v>
      </c>
      <c r="C2276" s="2" t="s">
        <v>1608</v>
      </c>
      <c r="D2276" s="26">
        <v>110000</v>
      </c>
      <c r="E2276" s="2">
        <v>640512</v>
      </c>
      <c r="F2276" s="2">
        <v>610210</v>
      </c>
      <c r="G2276" s="32">
        <f>23040+645</f>
        <v>23685</v>
      </c>
      <c r="H2276" s="32">
        <f>23040+645</f>
        <v>23685</v>
      </c>
    </row>
    <row r="2277" spans="1:8" s="2" customFormat="1">
      <c r="A2277" s="5"/>
      <c r="D2277" s="26">
        <v>166130</v>
      </c>
      <c r="E2277" s="2">
        <v>640530</v>
      </c>
      <c r="F2277" s="2">
        <v>610210</v>
      </c>
      <c r="G2277" s="32">
        <v>2560</v>
      </c>
      <c r="H2277" s="32"/>
    </row>
    <row r="2278" spans="1:8" s="2" customFormat="1">
      <c r="A2278" s="5"/>
      <c r="D2278" s="26"/>
      <c r="E2278" s="2" t="s">
        <v>2880</v>
      </c>
      <c r="G2278" s="32">
        <f>G2276+G2277</f>
        <v>26245</v>
      </c>
      <c r="H2278" s="32">
        <f>H2276+H2277</f>
        <v>23685</v>
      </c>
    </row>
    <row r="2279" spans="1:8" s="2" customFormat="1">
      <c r="A2279" s="5" t="s">
        <v>1239</v>
      </c>
      <c r="B2279" s="2" t="s">
        <v>5</v>
      </c>
      <c r="C2279" s="2" t="s">
        <v>2208</v>
      </c>
      <c r="D2279" s="26">
        <v>110000</v>
      </c>
      <c r="E2279" s="2">
        <v>640512</v>
      </c>
      <c r="F2279" s="2">
        <v>610410</v>
      </c>
      <c r="G2279" s="32">
        <f>21460+601</f>
        <v>22061</v>
      </c>
      <c r="H2279" s="32">
        <f>21460+601</f>
        <v>22061</v>
      </c>
    </row>
    <row r="2280" spans="1:8" s="2" customFormat="1">
      <c r="A2280" s="5" t="s">
        <v>1240</v>
      </c>
      <c r="B2280" s="2" t="s">
        <v>6</v>
      </c>
      <c r="C2280" s="2" t="s">
        <v>1609</v>
      </c>
      <c r="D2280" s="26">
        <v>110000</v>
      </c>
      <c r="E2280" s="2">
        <v>640511</v>
      </c>
      <c r="F2280" s="2">
        <v>610410</v>
      </c>
      <c r="G2280" s="32">
        <f>15799+442</f>
        <v>16241</v>
      </c>
      <c r="H2280" s="32"/>
    </row>
    <row r="2281" spans="1:8" s="2" customFormat="1">
      <c r="A2281" s="5" t="s">
        <v>1241</v>
      </c>
      <c r="B2281" s="2" t="s">
        <v>1587</v>
      </c>
      <c r="C2281" s="2" t="s">
        <v>1609</v>
      </c>
      <c r="D2281" s="26">
        <v>110000</v>
      </c>
      <c r="E2281" s="2">
        <v>640512</v>
      </c>
      <c r="F2281" s="2">
        <v>610410</v>
      </c>
      <c r="G2281" s="32">
        <f>15799+442</f>
        <v>16241</v>
      </c>
      <c r="H2281" s="32">
        <f>15799+442</f>
        <v>16241</v>
      </c>
    </row>
    <row r="2282" spans="1:8" s="2" customFormat="1">
      <c r="A2282" s="5" t="s">
        <v>885</v>
      </c>
      <c r="C2282" s="2" t="s">
        <v>1611</v>
      </c>
      <c r="D2282" s="26">
        <v>110000</v>
      </c>
      <c r="E2282" s="2">
        <v>640512</v>
      </c>
      <c r="F2282" s="2">
        <v>620000</v>
      </c>
      <c r="G2282" s="32"/>
      <c r="H2282" s="32"/>
    </row>
    <row r="2283" spans="1:8" s="2" customFormat="1">
      <c r="A2283" s="5" t="s">
        <v>886</v>
      </c>
      <c r="C2283" s="2" t="s">
        <v>2950</v>
      </c>
      <c r="D2283" s="26">
        <v>110000</v>
      </c>
      <c r="E2283" s="2">
        <v>640512</v>
      </c>
      <c r="F2283" s="2">
        <v>610000</v>
      </c>
      <c r="G2283" s="32"/>
      <c r="H2283" s="32"/>
    </row>
    <row r="2284" spans="1:8" s="2" customFormat="1">
      <c r="C2284" s="2" t="s">
        <v>2951</v>
      </c>
      <c r="D2284" s="26">
        <v>110000</v>
      </c>
      <c r="E2284" s="2">
        <v>640512</v>
      </c>
      <c r="F2284" s="2">
        <v>630000</v>
      </c>
      <c r="G2284" s="32">
        <f>(SUM(G2265:G2283)-G2278)*0.22</f>
        <v>140515.98000000001</v>
      </c>
      <c r="H2284" s="32">
        <f>(SUM(H2265:H2283)-H2278)*0.22</f>
        <v>91223.22</v>
      </c>
    </row>
    <row r="2285" spans="1:8" s="2" customFormat="1">
      <c r="C2285" s="8" t="s">
        <v>1129</v>
      </c>
      <c r="D2285" s="26"/>
      <c r="G2285" s="32">
        <f>SUM(G2265:G2284)-G2278</f>
        <v>779224.98</v>
      </c>
      <c r="H2285" s="32">
        <f>SUM(H2265:H2284)-H2278</f>
        <v>505874.22</v>
      </c>
    </row>
    <row r="2286" spans="1:8" s="2" customFormat="1">
      <c r="C2286" s="2" t="s">
        <v>2234</v>
      </c>
      <c r="D2286" s="26">
        <v>110000</v>
      </c>
      <c r="E2286" s="2">
        <v>640512</v>
      </c>
      <c r="F2286" s="2">
        <v>710000</v>
      </c>
      <c r="G2286" s="32">
        <v>38037</v>
      </c>
      <c r="H2286" s="32">
        <v>38037</v>
      </c>
    </row>
    <row r="2287" spans="1:8" s="2" customFormat="1">
      <c r="C2287" s="8" t="s">
        <v>2235</v>
      </c>
      <c r="D2287" s="26"/>
      <c r="G2287" s="32">
        <f>G2285+G2286</f>
        <v>817261.98</v>
      </c>
      <c r="H2287" s="32">
        <f>H2285+H2286</f>
        <v>543911.22</v>
      </c>
    </row>
    <row r="2288" spans="1:8" s="2" customFormat="1">
      <c r="D2288" s="26"/>
      <c r="G2288" s="32"/>
      <c r="H2288" s="32"/>
    </row>
    <row r="2289" spans="1:8" s="2" customFormat="1">
      <c r="A2289" s="5" t="s">
        <v>3048</v>
      </c>
      <c r="B2289" s="2" t="s">
        <v>1426</v>
      </c>
      <c r="E2289" s="20"/>
      <c r="G2289" s="32"/>
      <c r="H2289" s="32"/>
    </row>
    <row r="2290" spans="1:8" s="2" customFormat="1">
      <c r="A2290" s="5"/>
      <c r="E2290" s="20"/>
      <c r="G2290" s="32"/>
      <c r="H2290" s="32"/>
    </row>
    <row r="2291" spans="1:8" s="2" customFormat="1">
      <c r="A2291" s="5" t="s">
        <v>2039</v>
      </c>
      <c r="B2291" s="2" t="s">
        <v>1427</v>
      </c>
      <c r="C2291" s="2" t="s">
        <v>1029</v>
      </c>
      <c r="D2291" s="2">
        <v>110000</v>
      </c>
      <c r="E2291" s="20" t="s">
        <v>3048</v>
      </c>
      <c r="F2291" s="2">
        <v>610110</v>
      </c>
      <c r="G2291" s="32">
        <f>54937+1593</f>
        <v>56530</v>
      </c>
      <c r="H2291" s="32">
        <f>54937+1593</f>
        <v>56530</v>
      </c>
    </row>
    <row r="2292" spans="1:8" s="2" customFormat="1">
      <c r="A2292" s="5" t="s">
        <v>2040</v>
      </c>
      <c r="B2292" s="2" t="s">
        <v>1428</v>
      </c>
      <c r="C2292" s="2" t="s">
        <v>2490</v>
      </c>
      <c r="D2292" s="2">
        <v>110000</v>
      </c>
      <c r="E2292" s="20" t="s">
        <v>3048</v>
      </c>
      <c r="F2292" s="2">
        <v>610110</v>
      </c>
      <c r="G2292" s="32">
        <f>57791+1659</f>
        <v>59450</v>
      </c>
      <c r="H2292" s="32">
        <f>57791+1659</f>
        <v>59450</v>
      </c>
    </row>
    <row r="2293" spans="1:8" s="2" customFormat="1">
      <c r="A2293" s="6" t="s">
        <v>2041</v>
      </c>
      <c r="B2293" s="2" t="s">
        <v>1429</v>
      </c>
      <c r="C2293" s="2" t="s">
        <v>2490</v>
      </c>
      <c r="D2293" s="2">
        <v>110000</v>
      </c>
      <c r="E2293" s="20" t="s">
        <v>3048</v>
      </c>
      <c r="F2293" s="2">
        <v>610110</v>
      </c>
      <c r="G2293" s="32">
        <f>48372+1538</f>
        <v>49910</v>
      </c>
      <c r="H2293" s="32">
        <f>48372+1538</f>
        <v>49910</v>
      </c>
    </row>
    <row r="2294" spans="1:8" s="2" customFormat="1">
      <c r="A2294" s="5" t="s">
        <v>2042</v>
      </c>
      <c r="B2294" s="2" t="s">
        <v>1430</v>
      </c>
      <c r="C2294" s="2" t="s">
        <v>544</v>
      </c>
      <c r="D2294" s="2">
        <v>110000</v>
      </c>
      <c r="E2294" s="20" t="s">
        <v>3048</v>
      </c>
      <c r="F2294" s="2">
        <v>610110</v>
      </c>
      <c r="G2294" s="32">
        <f>46082+1471</f>
        <v>47553</v>
      </c>
      <c r="H2294" s="32">
        <f>46082+1471</f>
        <v>47553</v>
      </c>
    </row>
    <row r="2295" spans="1:8" s="2" customFormat="1">
      <c r="A2295" s="5" t="s">
        <v>2043</v>
      </c>
      <c r="B2295" s="2" t="s">
        <v>1431</v>
      </c>
      <c r="C2295" s="2" t="s">
        <v>148</v>
      </c>
      <c r="D2295" s="2">
        <v>110000</v>
      </c>
      <c r="E2295" s="20" t="s">
        <v>3048</v>
      </c>
      <c r="F2295" s="2">
        <v>610110</v>
      </c>
      <c r="G2295" s="32">
        <f>34689+1686</f>
        <v>36375</v>
      </c>
      <c r="H2295" s="32">
        <f>34689+1686</f>
        <v>36375</v>
      </c>
    </row>
    <row r="2296" spans="1:8" s="2" customFormat="1">
      <c r="A2296" s="5" t="s">
        <v>2044</v>
      </c>
      <c r="B2296" s="2" t="s">
        <v>1632</v>
      </c>
      <c r="C2296" s="2" t="s">
        <v>1609</v>
      </c>
      <c r="D2296" s="2">
        <v>110000</v>
      </c>
      <c r="E2296" s="20" t="s">
        <v>3048</v>
      </c>
      <c r="F2296" s="2">
        <v>610410</v>
      </c>
      <c r="G2296" s="32">
        <f>16095+451</f>
        <v>16546</v>
      </c>
      <c r="H2296" s="32">
        <f>16095+451</f>
        <v>16546</v>
      </c>
    </row>
    <row r="2297" spans="1:8" s="2" customFormat="1">
      <c r="A2297" s="5" t="s">
        <v>2045</v>
      </c>
      <c r="B2297" s="2" t="s">
        <v>2634</v>
      </c>
      <c r="C2297" s="2" t="s">
        <v>148</v>
      </c>
      <c r="D2297" s="2">
        <v>110000</v>
      </c>
      <c r="E2297" s="20" t="s">
        <v>3048</v>
      </c>
      <c r="F2297" s="2">
        <v>610110</v>
      </c>
      <c r="G2297" s="32">
        <f>34900+349</f>
        <v>35249</v>
      </c>
      <c r="H2297" s="32">
        <f>34900+349</f>
        <v>35249</v>
      </c>
    </row>
    <row r="2298" spans="1:8" s="2" customFormat="1">
      <c r="A2298" s="5"/>
      <c r="C2298" s="2" t="s">
        <v>1611</v>
      </c>
      <c r="D2298" s="2">
        <v>110000</v>
      </c>
      <c r="E2298" s="20" t="s">
        <v>3048</v>
      </c>
      <c r="F2298" s="2">
        <v>620000</v>
      </c>
      <c r="G2298" s="32">
        <v>3000</v>
      </c>
      <c r="H2298" s="32">
        <v>3000</v>
      </c>
    </row>
    <row r="2299" spans="1:8" s="2" customFormat="1">
      <c r="A2299" s="5"/>
      <c r="C2299" s="2" t="s">
        <v>2950</v>
      </c>
      <c r="D2299" s="2">
        <v>110000</v>
      </c>
      <c r="E2299" s="20" t="s">
        <v>3048</v>
      </c>
      <c r="F2299" s="2">
        <v>610000</v>
      </c>
      <c r="G2299" s="36"/>
      <c r="H2299" s="36"/>
    </row>
    <row r="2300" spans="1:8" s="2" customFormat="1">
      <c r="A2300" s="5"/>
      <c r="C2300" s="2" t="s">
        <v>2951</v>
      </c>
      <c r="D2300" s="2">
        <v>110000</v>
      </c>
      <c r="E2300" s="20" t="s">
        <v>3048</v>
      </c>
      <c r="F2300" s="2">
        <v>630000</v>
      </c>
      <c r="G2300" s="32">
        <f>SUM(G2291:G2299)*0.2</f>
        <v>60922.600000000006</v>
      </c>
      <c r="H2300" s="32">
        <f>SUM(H2291:H2299)*0.2</f>
        <v>60922.600000000006</v>
      </c>
    </row>
    <row r="2301" spans="1:8" s="2" customFormat="1">
      <c r="A2301" s="5"/>
      <c r="C2301" s="8" t="s">
        <v>1129</v>
      </c>
      <c r="E2301" s="20"/>
      <c r="G2301" s="32">
        <f>SUM(G2291:G2300)</f>
        <v>365535.6</v>
      </c>
      <c r="H2301" s="32">
        <f>SUM(H2291:H2300)</f>
        <v>365535.6</v>
      </c>
    </row>
    <row r="2302" spans="1:8" s="2" customFormat="1">
      <c r="A2302" s="5"/>
      <c r="C2302" s="2" t="s">
        <v>2234</v>
      </c>
      <c r="D2302" s="2">
        <v>110000</v>
      </c>
      <c r="E2302" s="20" t="s">
        <v>3048</v>
      </c>
      <c r="F2302" s="2">
        <v>710000</v>
      </c>
      <c r="G2302" s="32">
        <v>13140</v>
      </c>
      <c r="H2302" s="32">
        <v>13140</v>
      </c>
    </row>
    <row r="2303" spans="1:8" s="2" customFormat="1">
      <c r="A2303" s="5"/>
      <c r="C2303" s="8" t="s">
        <v>2235</v>
      </c>
      <c r="E2303" s="20"/>
      <c r="G2303" s="32">
        <f>G2301+G2302</f>
        <v>378675.6</v>
      </c>
      <c r="H2303" s="32">
        <f>H2301+H2302</f>
        <v>378675.6</v>
      </c>
    </row>
    <row r="2304" spans="1:8" s="2" customFormat="1">
      <c r="A2304" s="5"/>
      <c r="E2304" s="20"/>
      <c r="G2304" s="32"/>
      <c r="H2304" s="32"/>
    </row>
    <row r="2305" spans="1:8" s="2" customFormat="1">
      <c r="A2305" s="5" t="s">
        <v>3049</v>
      </c>
      <c r="B2305" s="2" t="s">
        <v>1432</v>
      </c>
      <c r="E2305" s="20"/>
      <c r="G2305" s="32"/>
      <c r="H2305" s="32"/>
    </row>
    <row r="2306" spans="1:8" s="2" customFormat="1">
      <c r="A2306" s="5"/>
      <c r="E2306" s="20"/>
      <c r="G2306" s="32"/>
      <c r="H2306" s="32"/>
    </row>
    <row r="2307" spans="1:8" s="2" customFormat="1">
      <c r="A2307" s="5"/>
      <c r="C2307" s="2" t="s">
        <v>2234</v>
      </c>
      <c r="D2307" s="2">
        <v>110000</v>
      </c>
      <c r="E2307" s="20" t="s">
        <v>3049</v>
      </c>
      <c r="F2307" s="2">
        <v>710000</v>
      </c>
      <c r="G2307" s="32">
        <v>2707</v>
      </c>
      <c r="H2307" s="32">
        <v>2707</v>
      </c>
    </row>
    <row r="2308" spans="1:8" s="2" customFormat="1">
      <c r="A2308" s="5"/>
      <c r="C2308" s="8" t="s">
        <v>2235</v>
      </c>
      <c r="E2308" s="20"/>
      <c r="G2308" s="32">
        <f>G2307</f>
        <v>2707</v>
      </c>
      <c r="H2308" s="32">
        <f>H2307</f>
        <v>2707</v>
      </c>
    </row>
    <row r="2309" spans="1:8" s="2" customFormat="1">
      <c r="A2309" s="5"/>
      <c r="E2309" s="20"/>
      <c r="G2309" s="32"/>
      <c r="H2309" s="32"/>
    </row>
    <row r="2310" spans="1:8" s="2" customFormat="1">
      <c r="A2310" s="6" t="s">
        <v>2561</v>
      </c>
      <c r="B2310" s="2" t="s">
        <v>1035</v>
      </c>
      <c r="D2310" s="26"/>
      <c r="G2310" s="32"/>
      <c r="H2310" s="32"/>
    </row>
    <row r="2311" spans="1:8" s="2" customFormat="1">
      <c r="A2311" s="15"/>
      <c r="D2311" s="26"/>
      <c r="G2311" s="32"/>
      <c r="H2311" s="32"/>
    </row>
    <row r="2312" spans="1:8" s="2" customFormat="1">
      <c r="A2312" s="15"/>
      <c r="C2312" s="2" t="s">
        <v>2950</v>
      </c>
      <c r="D2312" s="26">
        <v>110000</v>
      </c>
      <c r="E2312" s="2">
        <v>640710</v>
      </c>
      <c r="F2312" s="2">
        <v>610000</v>
      </c>
      <c r="G2312" s="32">
        <f>8188+7053</f>
        <v>15241</v>
      </c>
      <c r="H2312" s="32">
        <f>8188+7053</f>
        <v>15241</v>
      </c>
    </row>
    <row r="2313" spans="1:8" s="2" customFormat="1">
      <c r="A2313" s="15"/>
      <c r="C2313" s="2" t="s">
        <v>2951</v>
      </c>
      <c r="D2313" s="26">
        <v>110000</v>
      </c>
      <c r="E2313" s="2">
        <v>640710</v>
      </c>
      <c r="F2313" s="2">
        <v>630000</v>
      </c>
      <c r="G2313" s="32">
        <f>G2312*0.2</f>
        <v>3048.2000000000003</v>
      </c>
      <c r="H2313" s="32">
        <f>H2312*0.2</f>
        <v>3048.2000000000003</v>
      </c>
    </row>
    <row r="2314" spans="1:8" s="2" customFormat="1">
      <c r="A2314" s="15"/>
      <c r="C2314" s="8" t="s">
        <v>1129</v>
      </c>
      <c r="D2314" s="26"/>
      <c r="G2314" s="32">
        <f>SUM(G2312:G2313)</f>
        <v>18289.2</v>
      </c>
      <c r="H2314" s="32">
        <f>SUM(H2312:H2313)</f>
        <v>18289.2</v>
      </c>
    </row>
    <row r="2315" spans="1:8" s="2" customFormat="1">
      <c r="A2315" s="15"/>
      <c r="C2315" s="2" t="s">
        <v>2234</v>
      </c>
      <c r="D2315" s="26">
        <v>110000</v>
      </c>
      <c r="E2315" s="2">
        <v>640710</v>
      </c>
      <c r="F2315" s="2">
        <v>710000</v>
      </c>
      <c r="G2315" s="32">
        <v>102000</v>
      </c>
      <c r="H2315" s="32">
        <v>102000</v>
      </c>
    </row>
    <row r="2316" spans="1:8" s="2" customFormat="1">
      <c r="A2316" s="15"/>
      <c r="C2316" s="8" t="s">
        <v>2235</v>
      </c>
      <c r="D2316" s="26"/>
      <c r="G2316" s="32">
        <f>G2314+G2315</f>
        <v>120289.2</v>
      </c>
      <c r="H2316" s="32">
        <f>H2314+H2315</f>
        <v>120289.2</v>
      </c>
    </row>
    <row r="2317" spans="1:8" s="2" customFormat="1">
      <c r="A2317" s="15"/>
      <c r="D2317" s="26"/>
      <c r="G2317" s="32"/>
      <c r="H2317" s="32"/>
    </row>
    <row r="2318" spans="1:8" s="2" customFormat="1">
      <c r="A2318" s="5" t="s">
        <v>3053</v>
      </c>
      <c r="B2318" s="2" t="s">
        <v>7</v>
      </c>
      <c r="E2318" s="20"/>
      <c r="G2318" s="32"/>
      <c r="H2318" s="32"/>
    </row>
    <row r="2319" spans="1:8" s="2" customFormat="1">
      <c r="A2319" s="5"/>
      <c r="E2319" s="20"/>
      <c r="G2319" s="32"/>
      <c r="H2319" s="32"/>
    </row>
    <row r="2320" spans="1:8" s="2" customFormat="1">
      <c r="A2320" s="5" t="s">
        <v>1242</v>
      </c>
      <c r="B2320" s="2" t="s">
        <v>8</v>
      </c>
      <c r="C2320" s="2" t="s">
        <v>1029</v>
      </c>
      <c r="D2320" s="2">
        <v>110000</v>
      </c>
      <c r="E2320" s="20" t="s">
        <v>3053</v>
      </c>
      <c r="F2320" s="2">
        <v>610110</v>
      </c>
      <c r="G2320" s="32">
        <f>64481+1805</f>
        <v>66286</v>
      </c>
      <c r="H2320" s="32">
        <f>64481+1805</f>
        <v>66286</v>
      </c>
    </row>
    <row r="2321" spans="1:8" s="2" customFormat="1">
      <c r="A2321" s="5" t="s">
        <v>1243</v>
      </c>
      <c r="B2321" s="2" t="s">
        <v>9</v>
      </c>
      <c r="C2321" s="2" t="s">
        <v>2490</v>
      </c>
      <c r="D2321" s="2">
        <v>110000</v>
      </c>
      <c r="E2321" s="20" t="s">
        <v>3053</v>
      </c>
      <c r="F2321" s="2">
        <v>610110</v>
      </c>
      <c r="G2321" s="32">
        <f>63394+1744</f>
        <v>65138</v>
      </c>
      <c r="H2321" s="32">
        <f>63394+1744</f>
        <v>65138</v>
      </c>
    </row>
    <row r="2322" spans="1:8" s="2" customFormat="1">
      <c r="A2322" s="5" t="s">
        <v>1244</v>
      </c>
      <c r="B2322" s="2" t="s">
        <v>10</v>
      </c>
      <c r="C2322" s="2" t="s">
        <v>544</v>
      </c>
      <c r="D2322" s="2">
        <v>110000</v>
      </c>
      <c r="E2322" s="20" t="s">
        <v>3053</v>
      </c>
      <c r="F2322" s="2">
        <v>610110</v>
      </c>
      <c r="G2322" s="32">
        <f>43807+1213</f>
        <v>45020</v>
      </c>
      <c r="H2322" s="32">
        <f>43807+1213</f>
        <v>45020</v>
      </c>
    </row>
    <row r="2323" spans="1:8" s="2" customFormat="1">
      <c r="A2323" s="5" t="s">
        <v>1245</v>
      </c>
      <c r="B2323" s="2" t="s">
        <v>1633</v>
      </c>
      <c r="C2323" s="2" t="s">
        <v>1031</v>
      </c>
      <c r="D2323" s="2">
        <v>110000</v>
      </c>
      <c r="E2323" s="20" t="s">
        <v>3053</v>
      </c>
      <c r="F2323" s="2">
        <v>610110</v>
      </c>
      <c r="G2323" s="32">
        <f>36000+1052</f>
        <v>37052</v>
      </c>
      <c r="H2323" s="32">
        <f>36000+1052</f>
        <v>37052</v>
      </c>
    </row>
    <row r="2324" spans="1:8" s="2" customFormat="1">
      <c r="A2324" s="5" t="s">
        <v>1246</v>
      </c>
      <c r="B2324" s="2" t="s">
        <v>2183</v>
      </c>
      <c r="C2324" s="2" t="s">
        <v>2170</v>
      </c>
      <c r="D2324" s="2">
        <v>110000</v>
      </c>
      <c r="E2324" s="20" t="s">
        <v>3053</v>
      </c>
      <c r="F2324" s="2">
        <v>610210</v>
      </c>
      <c r="G2324" s="32">
        <f>34003+952</f>
        <v>34955</v>
      </c>
      <c r="H2324" s="32">
        <f>34003+952</f>
        <v>34955</v>
      </c>
    </row>
    <row r="2325" spans="1:8" s="2" customFormat="1">
      <c r="A2325" s="5" t="s">
        <v>1247</v>
      </c>
      <c r="B2325" s="2" t="s">
        <v>2184</v>
      </c>
      <c r="C2325" s="2" t="s">
        <v>1609</v>
      </c>
      <c r="D2325" s="2">
        <v>110000</v>
      </c>
      <c r="E2325" s="20" t="s">
        <v>3053</v>
      </c>
      <c r="F2325" s="2">
        <v>610410</v>
      </c>
      <c r="G2325" s="32">
        <f>17564+492</f>
        <v>18056</v>
      </c>
      <c r="H2325" s="32">
        <f>17564+492</f>
        <v>18056</v>
      </c>
    </row>
    <row r="2326" spans="1:8" s="2" customFormat="1">
      <c r="A2326" s="5"/>
      <c r="C2326" s="2" t="s">
        <v>1611</v>
      </c>
      <c r="D2326" s="2">
        <v>110000</v>
      </c>
      <c r="E2326" s="20" t="s">
        <v>3053</v>
      </c>
      <c r="F2326" s="2">
        <v>620000</v>
      </c>
      <c r="G2326" s="32">
        <v>13500</v>
      </c>
      <c r="H2326" s="32">
        <v>13500</v>
      </c>
    </row>
    <row r="2327" spans="1:8" s="2" customFormat="1">
      <c r="A2327" s="5"/>
      <c r="C2327" s="2" t="s">
        <v>2950</v>
      </c>
      <c r="D2327" s="2">
        <v>110000</v>
      </c>
      <c r="E2327" s="20" t="s">
        <v>3053</v>
      </c>
      <c r="F2327" s="2">
        <v>610000</v>
      </c>
      <c r="G2327" s="36"/>
      <c r="H2327" s="36"/>
    </row>
    <row r="2328" spans="1:8" s="2" customFormat="1">
      <c r="A2328" s="5"/>
      <c r="C2328" s="2" t="s">
        <v>2951</v>
      </c>
      <c r="D2328" s="2">
        <v>110000</v>
      </c>
      <c r="E2328" s="20" t="s">
        <v>3053</v>
      </c>
      <c r="F2328" s="2">
        <v>630000</v>
      </c>
      <c r="G2328" s="32">
        <f>SUM(G2320:G2325)*0.21+G2326*0.08</f>
        <v>57046.47</v>
      </c>
      <c r="H2328" s="32">
        <f>SUM(H2320:H2325)*0.21+H2326*0.08</f>
        <v>57046.47</v>
      </c>
    </row>
    <row r="2329" spans="1:8" s="2" customFormat="1">
      <c r="A2329" s="5"/>
      <c r="C2329" s="8" t="s">
        <v>1129</v>
      </c>
      <c r="E2329" s="20"/>
      <c r="G2329" s="32">
        <f>SUM(G2320:G2328)</f>
        <v>337053.47</v>
      </c>
      <c r="H2329" s="32">
        <f>SUM(H2320:H2328)</f>
        <v>337053.47</v>
      </c>
    </row>
    <row r="2330" spans="1:8" s="2" customFormat="1">
      <c r="A2330" s="5"/>
      <c r="C2330" s="2" t="s">
        <v>2234</v>
      </c>
      <c r="D2330" s="2">
        <v>110000</v>
      </c>
      <c r="E2330" s="20" t="s">
        <v>3053</v>
      </c>
      <c r="F2330" s="2">
        <v>710000</v>
      </c>
      <c r="G2330" s="32">
        <v>9689</v>
      </c>
      <c r="H2330" s="32">
        <v>9689</v>
      </c>
    </row>
    <row r="2331" spans="1:8" s="2" customFormat="1">
      <c r="A2331" s="5"/>
      <c r="C2331" s="8" t="s">
        <v>2235</v>
      </c>
      <c r="E2331" s="20"/>
      <c r="G2331" s="32">
        <f>G2329+G2330</f>
        <v>346742.47</v>
      </c>
      <c r="H2331" s="32">
        <f>H2329+H2330</f>
        <v>346742.47</v>
      </c>
    </row>
    <row r="2332" spans="1:8" s="2" customFormat="1">
      <c r="A2332" s="5"/>
      <c r="C2332" s="8"/>
      <c r="E2332" s="20"/>
      <c r="G2332" s="32"/>
      <c r="H2332" s="32"/>
    </row>
    <row r="2333" spans="1:8" s="2" customFormat="1">
      <c r="A2333" s="6" t="s">
        <v>3053</v>
      </c>
      <c r="B2333" s="2" t="s">
        <v>1036</v>
      </c>
      <c r="D2333" s="26"/>
      <c r="G2333" s="32"/>
      <c r="H2333" s="32"/>
    </row>
    <row r="2334" spans="1:8" s="2" customFormat="1">
      <c r="A2334" s="15"/>
      <c r="D2334" s="26"/>
      <c r="G2334" s="32"/>
      <c r="H2334" s="32"/>
    </row>
    <row r="2335" spans="1:8" s="2" customFormat="1">
      <c r="A2335" s="15"/>
      <c r="C2335" s="2" t="s">
        <v>2234</v>
      </c>
      <c r="D2335" s="26">
        <v>110000</v>
      </c>
      <c r="E2335" s="2">
        <v>640910</v>
      </c>
      <c r="F2335" s="2">
        <v>710000</v>
      </c>
      <c r="G2335" s="32">
        <v>8748</v>
      </c>
      <c r="H2335" s="32">
        <v>8748</v>
      </c>
    </row>
    <row r="2336" spans="1:8" s="2" customFormat="1">
      <c r="A2336" s="15"/>
      <c r="C2336" s="8" t="s">
        <v>2235</v>
      </c>
      <c r="D2336" s="26"/>
      <c r="G2336" s="32">
        <f>G2335</f>
        <v>8748</v>
      </c>
      <c r="H2336" s="32">
        <f>H2335</f>
        <v>8748</v>
      </c>
    </row>
    <row r="2337" spans="1:8" s="2" customFormat="1">
      <c r="A2337" s="15"/>
      <c r="D2337" s="26"/>
      <c r="G2337" s="32"/>
      <c r="H2337" s="32"/>
    </row>
    <row r="2338" spans="1:8" s="2" customFormat="1">
      <c r="A2338" s="5" t="s">
        <v>3054</v>
      </c>
      <c r="B2338" s="2" t="s">
        <v>2185</v>
      </c>
      <c r="E2338" s="20"/>
      <c r="G2338" s="32"/>
      <c r="H2338" s="32"/>
    </row>
    <row r="2339" spans="1:8" s="2" customFormat="1">
      <c r="A2339" s="5"/>
      <c r="E2339" s="20"/>
      <c r="G2339" s="32"/>
      <c r="H2339" s="32"/>
    </row>
    <row r="2340" spans="1:8" s="2" customFormat="1">
      <c r="A2340" s="5"/>
      <c r="C2340" s="2" t="s">
        <v>2234</v>
      </c>
      <c r="D2340" s="2">
        <v>110000</v>
      </c>
      <c r="E2340" s="20" t="s">
        <v>3054</v>
      </c>
      <c r="F2340" s="2">
        <v>710000</v>
      </c>
      <c r="G2340" s="32">
        <v>3590</v>
      </c>
      <c r="H2340" s="32">
        <v>3590</v>
      </c>
    </row>
    <row r="2341" spans="1:8" s="2" customFormat="1">
      <c r="A2341" s="5"/>
      <c r="C2341" s="8" t="s">
        <v>2235</v>
      </c>
      <c r="E2341" s="20"/>
      <c r="G2341" s="32">
        <f>G2340</f>
        <v>3590</v>
      </c>
      <c r="H2341" s="32">
        <f>H2340</f>
        <v>3590</v>
      </c>
    </row>
    <row r="2342" spans="1:8" s="2" customFormat="1">
      <c r="A2342" s="5"/>
      <c r="E2342" s="20"/>
      <c r="G2342" s="32"/>
      <c r="H2342" s="32"/>
    </row>
    <row r="2343" spans="1:8" s="2" customFormat="1">
      <c r="A2343" s="5" t="s">
        <v>3055</v>
      </c>
      <c r="B2343" s="2" t="s">
        <v>2186</v>
      </c>
      <c r="E2343" s="20"/>
      <c r="G2343" s="32"/>
      <c r="H2343" s="32"/>
    </row>
    <row r="2344" spans="1:8" s="2" customFormat="1">
      <c r="A2344" s="5"/>
      <c r="E2344" s="20"/>
      <c r="G2344" s="32"/>
      <c r="H2344" s="32"/>
    </row>
    <row r="2345" spans="1:8" s="2" customFormat="1">
      <c r="A2345" s="5" t="s">
        <v>1248</v>
      </c>
      <c r="B2345" s="2" t="s">
        <v>2187</v>
      </c>
      <c r="C2345" s="2" t="s">
        <v>1029</v>
      </c>
      <c r="D2345" s="2">
        <v>110000</v>
      </c>
      <c r="E2345" s="20" t="s">
        <v>3055</v>
      </c>
      <c r="F2345" s="2">
        <v>610110</v>
      </c>
      <c r="G2345" s="32">
        <f>77917+2259</f>
        <v>80176</v>
      </c>
      <c r="H2345" s="32">
        <f>77917+2259</f>
        <v>80176</v>
      </c>
    </row>
    <row r="2346" spans="1:8" s="2" customFormat="1">
      <c r="A2346" s="5" t="s">
        <v>1249</v>
      </c>
      <c r="B2346" s="2" t="s">
        <v>2188</v>
      </c>
      <c r="C2346" s="2" t="s">
        <v>2490</v>
      </c>
      <c r="D2346" s="2">
        <v>110000</v>
      </c>
      <c r="E2346" s="20" t="s">
        <v>3055</v>
      </c>
      <c r="F2346" s="2">
        <v>610110</v>
      </c>
      <c r="G2346" s="32">
        <f>58787+1764</f>
        <v>60551</v>
      </c>
      <c r="H2346" s="32">
        <f>58787+1764</f>
        <v>60551</v>
      </c>
    </row>
    <row r="2347" spans="1:8" s="2" customFormat="1">
      <c r="A2347" s="5" t="s">
        <v>1250</v>
      </c>
      <c r="B2347" s="2" t="s">
        <v>2189</v>
      </c>
      <c r="C2347" s="2" t="s">
        <v>2490</v>
      </c>
      <c r="D2347" s="2">
        <v>110000</v>
      </c>
      <c r="E2347" s="20" t="s">
        <v>3055</v>
      </c>
      <c r="F2347" s="2">
        <v>610110</v>
      </c>
      <c r="G2347" s="32">
        <f>54193+1517</f>
        <v>55710</v>
      </c>
      <c r="H2347" s="32">
        <f>54193+1517</f>
        <v>55710</v>
      </c>
    </row>
    <row r="2348" spans="1:8" s="2" customFormat="1">
      <c r="A2348" s="5" t="s">
        <v>1251</v>
      </c>
      <c r="B2348" s="2" t="s">
        <v>2190</v>
      </c>
      <c r="C2348" s="2" t="s">
        <v>2490</v>
      </c>
      <c r="D2348" s="2">
        <v>110000</v>
      </c>
      <c r="E2348" s="20" t="s">
        <v>3055</v>
      </c>
      <c r="F2348" s="2">
        <v>610110</v>
      </c>
      <c r="G2348" s="32">
        <f>74632+2239</f>
        <v>76871</v>
      </c>
      <c r="H2348" s="32">
        <f>74632+2239</f>
        <v>76871</v>
      </c>
    </row>
    <row r="2349" spans="1:8" s="2" customFormat="1">
      <c r="A2349" s="5" t="s">
        <v>1252</v>
      </c>
      <c r="B2349" s="2" t="s">
        <v>2191</v>
      </c>
      <c r="C2349" s="2" t="s">
        <v>2490</v>
      </c>
      <c r="D2349" s="2">
        <v>110000</v>
      </c>
      <c r="E2349" s="20" t="s">
        <v>3055</v>
      </c>
      <c r="F2349" s="2">
        <v>610110</v>
      </c>
      <c r="G2349" s="32">
        <f>70387+1971</f>
        <v>72358</v>
      </c>
      <c r="H2349" s="32">
        <f>70387+1971</f>
        <v>72358</v>
      </c>
    </row>
    <row r="2350" spans="1:8" s="2" customFormat="1">
      <c r="A2350" s="5" t="s">
        <v>1253</v>
      </c>
      <c r="B2350" s="2" t="s">
        <v>2192</v>
      </c>
      <c r="C2350" s="2" t="s">
        <v>544</v>
      </c>
      <c r="D2350" s="2">
        <v>110000</v>
      </c>
      <c r="E2350" s="20" t="s">
        <v>3055</v>
      </c>
      <c r="F2350" s="2">
        <v>610110</v>
      </c>
      <c r="G2350" s="32">
        <f>54651+1530</f>
        <v>56181</v>
      </c>
      <c r="H2350" s="32">
        <f>54651+1530</f>
        <v>56181</v>
      </c>
    </row>
    <row r="2351" spans="1:8" s="2" customFormat="1">
      <c r="A2351" s="5" t="s">
        <v>1254</v>
      </c>
      <c r="B2351" s="2" t="s">
        <v>2193</v>
      </c>
      <c r="C2351" s="2" t="s">
        <v>544</v>
      </c>
      <c r="D2351" s="2">
        <v>110000</v>
      </c>
      <c r="E2351" s="20" t="s">
        <v>3055</v>
      </c>
      <c r="F2351" s="2">
        <v>610110</v>
      </c>
      <c r="G2351" s="32">
        <f>44375+1154</f>
        <v>45529</v>
      </c>
      <c r="H2351" s="32">
        <f>44375+1154</f>
        <v>45529</v>
      </c>
    </row>
    <row r="2352" spans="1:8" s="2" customFormat="1">
      <c r="A2352" s="5" t="s">
        <v>1255</v>
      </c>
      <c r="B2352" s="2" t="s">
        <v>2194</v>
      </c>
      <c r="C2352" s="2" t="s">
        <v>544</v>
      </c>
      <c r="D2352" s="2">
        <v>110000</v>
      </c>
      <c r="E2352" s="20" t="s">
        <v>3055</v>
      </c>
      <c r="F2352" s="2">
        <v>610110</v>
      </c>
      <c r="G2352" s="32">
        <f>67057+1878</f>
        <v>68935</v>
      </c>
      <c r="H2352" s="32">
        <f>67057+1878</f>
        <v>68935</v>
      </c>
    </row>
    <row r="2353" spans="1:8" s="2" customFormat="1">
      <c r="A2353" s="5" t="s">
        <v>1256</v>
      </c>
      <c r="B2353" s="2" t="s">
        <v>2195</v>
      </c>
      <c r="C2353" s="2" t="s">
        <v>148</v>
      </c>
      <c r="D2353" s="2">
        <v>110000</v>
      </c>
      <c r="E2353" s="20" t="s">
        <v>3055</v>
      </c>
      <c r="F2353" s="2">
        <v>610110</v>
      </c>
      <c r="G2353" s="32">
        <f>52671+1448</f>
        <v>54119</v>
      </c>
      <c r="H2353" s="32">
        <f>52671+1448</f>
        <v>54119</v>
      </c>
    </row>
    <row r="2354" spans="1:8" s="2" customFormat="1">
      <c r="A2354" s="5" t="s">
        <v>1257</v>
      </c>
      <c r="B2354" s="2" t="s">
        <v>2196</v>
      </c>
      <c r="C2354" s="2" t="s">
        <v>148</v>
      </c>
      <c r="D2354" s="2">
        <v>110000</v>
      </c>
      <c r="E2354" s="20" t="s">
        <v>3055</v>
      </c>
      <c r="F2354" s="2">
        <v>610110</v>
      </c>
      <c r="G2354" s="32">
        <f>48742+1340</f>
        <v>50082</v>
      </c>
      <c r="H2354" s="32">
        <f>48742+1340</f>
        <v>50082</v>
      </c>
    </row>
    <row r="2355" spans="1:8" s="2" customFormat="1">
      <c r="A2355" s="5" t="s">
        <v>1258</v>
      </c>
      <c r="B2355" s="2" t="s">
        <v>2197</v>
      </c>
      <c r="C2355" s="2" t="s">
        <v>148</v>
      </c>
      <c r="D2355" s="2">
        <v>110000</v>
      </c>
      <c r="E2355" s="20" t="s">
        <v>3055</v>
      </c>
      <c r="F2355" s="2">
        <v>610110</v>
      </c>
      <c r="G2355" s="32">
        <f>22679+624</f>
        <v>23303</v>
      </c>
      <c r="H2355" s="32">
        <f>22679+624</f>
        <v>23303</v>
      </c>
    </row>
    <row r="2356" spans="1:8" s="2" customFormat="1">
      <c r="A2356" s="5"/>
      <c r="E2356" s="20"/>
      <c r="G2356" s="32">
        <v>22496</v>
      </c>
      <c r="H2356" s="32"/>
    </row>
    <row r="2357" spans="1:8" s="2" customFormat="1">
      <c r="A2357" s="5"/>
      <c r="E2357" s="5" t="s">
        <v>2880</v>
      </c>
      <c r="G2357" s="32">
        <f>SUM(G2355:G2356)</f>
        <v>45799</v>
      </c>
      <c r="H2357" s="32">
        <f>SUM(H2355:H2356)</f>
        <v>23303</v>
      </c>
    </row>
    <row r="2358" spans="1:8" s="2" customFormat="1">
      <c r="A2358" s="5" t="s">
        <v>1259</v>
      </c>
      <c r="B2358" s="2" t="s">
        <v>2198</v>
      </c>
      <c r="C2358" s="2" t="s">
        <v>1031</v>
      </c>
      <c r="D2358" s="2">
        <v>110000</v>
      </c>
      <c r="E2358" s="20" t="s">
        <v>3055</v>
      </c>
      <c r="F2358" s="2">
        <v>610110</v>
      </c>
      <c r="G2358" s="32">
        <f>19456+535</f>
        <v>19991</v>
      </c>
      <c r="H2358" s="32">
        <f>19456+535</f>
        <v>19991</v>
      </c>
    </row>
    <row r="2359" spans="1:8" s="2" customFormat="1">
      <c r="A2359" s="5"/>
      <c r="E2359" s="20"/>
      <c r="G2359" s="32">
        <v>19456</v>
      </c>
      <c r="H2359" s="32"/>
    </row>
    <row r="2360" spans="1:8" s="2" customFormat="1">
      <c r="A2360" s="5"/>
      <c r="E2360" s="5" t="s">
        <v>2880</v>
      </c>
      <c r="G2360" s="32">
        <f>SUM(G2358:G2359)</f>
        <v>39447</v>
      </c>
      <c r="H2360" s="32">
        <f>SUM(H2358:H2359)</f>
        <v>19991</v>
      </c>
    </row>
    <row r="2361" spans="1:8" s="2" customFormat="1">
      <c r="A2361" s="5" t="s">
        <v>1260</v>
      </c>
      <c r="B2361" s="2" t="s">
        <v>2199</v>
      </c>
      <c r="C2361" s="2" t="s">
        <v>1031</v>
      </c>
      <c r="D2361" s="2">
        <v>110000</v>
      </c>
      <c r="E2361" s="20" t="s">
        <v>3055</v>
      </c>
      <c r="F2361" s="2">
        <v>610110</v>
      </c>
      <c r="G2361" s="32">
        <f>41145+1131.49</f>
        <v>42276.49</v>
      </c>
      <c r="H2361" s="32">
        <f>41145+1131.49</f>
        <v>42276.49</v>
      </c>
    </row>
    <row r="2362" spans="1:8" s="2" customFormat="1">
      <c r="A2362" s="5" t="s">
        <v>1261</v>
      </c>
      <c r="B2362" s="2" t="s">
        <v>2200</v>
      </c>
      <c r="C2362" s="2" t="s">
        <v>2106</v>
      </c>
      <c r="D2362" s="2">
        <v>110000</v>
      </c>
      <c r="E2362" s="20" t="s">
        <v>3055</v>
      </c>
      <c r="F2362" s="2">
        <v>610110</v>
      </c>
      <c r="G2362" s="32">
        <f>38894+1070</f>
        <v>39964</v>
      </c>
      <c r="H2362" s="32">
        <f>38894+1070</f>
        <v>39964</v>
      </c>
    </row>
    <row r="2363" spans="1:8" s="2" customFormat="1">
      <c r="A2363" s="5" t="s">
        <v>1262</v>
      </c>
      <c r="B2363" s="2" t="s">
        <v>2201</v>
      </c>
      <c r="C2363" s="2" t="s">
        <v>1456</v>
      </c>
      <c r="D2363" s="2">
        <v>110000</v>
      </c>
      <c r="E2363" s="20" t="s">
        <v>3055</v>
      </c>
      <c r="F2363" s="2">
        <v>610410</v>
      </c>
      <c r="G2363" s="32">
        <f>19086+534+2655</f>
        <v>22275</v>
      </c>
      <c r="H2363" s="32">
        <f>19086+534+2655</f>
        <v>22275</v>
      </c>
    </row>
    <row r="2364" spans="1:8" s="2" customFormat="1">
      <c r="A2364" s="5"/>
      <c r="E2364" s="20"/>
      <c r="G2364" s="32">
        <v>2656</v>
      </c>
      <c r="H2364" s="32"/>
    </row>
    <row r="2365" spans="1:8" s="2" customFormat="1">
      <c r="A2365" s="5"/>
      <c r="E2365" s="5" t="s">
        <v>2880</v>
      </c>
      <c r="G2365" s="32">
        <f>SUM(G2363:G2364)</f>
        <v>24931</v>
      </c>
      <c r="H2365" s="32">
        <f>SUM(H2363:H2364)</f>
        <v>22275</v>
      </c>
    </row>
    <row r="2366" spans="1:8" s="2" customFormat="1">
      <c r="A2366" s="5" t="s">
        <v>1263</v>
      </c>
      <c r="B2366" s="2" t="s">
        <v>28</v>
      </c>
      <c r="C2366" s="2" t="s">
        <v>1031</v>
      </c>
      <c r="D2366" s="2">
        <v>110000</v>
      </c>
      <c r="E2366" s="20" t="s">
        <v>3055</v>
      </c>
      <c r="F2366" s="2">
        <v>610110</v>
      </c>
      <c r="G2366" s="32">
        <f>32685+899</f>
        <v>33584</v>
      </c>
      <c r="H2366" s="32">
        <f>32685+899</f>
        <v>33584</v>
      </c>
    </row>
    <row r="2367" spans="1:8" s="2" customFormat="1">
      <c r="A2367" s="5"/>
      <c r="E2367" s="20"/>
      <c r="G2367" s="32">
        <v>18660</v>
      </c>
      <c r="H2367" s="32"/>
    </row>
    <row r="2368" spans="1:8" s="2" customFormat="1">
      <c r="A2368" s="5"/>
      <c r="E2368" s="5" t="s">
        <v>2880</v>
      </c>
      <c r="G2368" s="32">
        <f>G2366+G2367</f>
        <v>52244</v>
      </c>
      <c r="H2368" s="32">
        <f>H2366+H2367</f>
        <v>33584</v>
      </c>
    </row>
    <row r="2369" spans="1:8" s="2" customFormat="1">
      <c r="A2369" s="5"/>
      <c r="B2369" s="2" t="s">
        <v>1969</v>
      </c>
      <c r="C2369" s="2" t="s">
        <v>148</v>
      </c>
      <c r="D2369" s="2">
        <v>110000</v>
      </c>
      <c r="E2369" s="20" t="s">
        <v>3055</v>
      </c>
      <c r="F2369" s="2">
        <v>610110</v>
      </c>
      <c r="G2369" s="32">
        <v>40000</v>
      </c>
      <c r="H2369" s="32">
        <v>40000</v>
      </c>
    </row>
    <row r="2370" spans="1:8" s="2" customFormat="1">
      <c r="A2370" s="5" t="s">
        <v>1264</v>
      </c>
      <c r="B2370" s="2" t="s">
        <v>139</v>
      </c>
      <c r="C2370" s="2" t="s">
        <v>1609</v>
      </c>
      <c r="D2370" s="2">
        <v>110000</v>
      </c>
      <c r="E2370" s="20" t="s">
        <v>3055</v>
      </c>
      <c r="F2370" s="2">
        <v>610410</v>
      </c>
      <c r="G2370" s="32">
        <f>15595+437</f>
        <v>16032</v>
      </c>
      <c r="H2370" s="32">
        <f>15595+437</f>
        <v>16032</v>
      </c>
    </row>
    <row r="2371" spans="1:8" s="2" customFormat="1">
      <c r="A2371" s="5" t="s">
        <v>1265</v>
      </c>
      <c r="B2371" s="2" t="s">
        <v>29</v>
      </c>
      <c r="C2371" s="2" t="s">
        <v>1031</v>
      </c>
      <c r="E2371" s="20"/>
      <c r="G2371" s="32">
        <v>36333</v>
      </c>
      <c r="H2371" s="32"/>
    </row>
    <row r="2372" spans="1:8" s="2" customFormat="1">
      <c r="A2372" s="5"/>
      <c r="E2372" s="20"/>
      <c r="G2372" s="32"/>
      <c r="H2372" s="32"/>
    </row>
    <row r="2373" spans="1:8" s="2" customFormat="1">
      <c r="A2373" s="5" t="s">
        <v>3055</v>
      </c>
      <c r="B2373" s="2" t="s">
        <v>2186</v>
      </c>
      <c r="C2373" s="8"/>
      <c r="E2373" s="20"/>
      <c r="G2373" s="32"/>
      <c r="H2373" s="32"/>
    </row>
    <row r="2374" spans="1:8" s="2" customFormat="1">
      <c r="A2374" s="5"/>
      <c r="E2374" s="20"/>
      <c r="G2374" s="32"/>
      <c r="H2374" s="32"/>
    </row>
    <row r="2375" spans="1:8" s="2" customFormat="1">
      <c r="A2375" s="5"/>
      <c r="C2375" s="2" t="s">
        <v>1611</v>
      </c>
      <c r="D2375" s="2">
        <v>110000</v>
      </c>
      <c r="E2375" s="20" t="s">
        <v>3055</v>
      </c>
      <c r="F2375" s="2">
        <v>620000</v>
      </c>
      <c r="G2375" s="32">
        <v>1500</v>
      </c>
      <c r="H2375" s="32">
        <v>1500</v>
      </c>
    </row>
    <row r="2376" spans="1:8" s="2" customFormat="1">
      <c r="A2376" s="5"/>
      <c r="C2376" s="2" t="s">
        <v>2950</v>
      </c>
      <c r="D2376" s="2">
        <v>110000</v>
      </c>
      <c r="E2376" s="20" t="s">
        <v>3055</v>
      </c>
      <c r="F2376" s="2">
        <v>610000</v>
      </c>
      <c r="G2376" s="37">
        <f>3494</f>
        <v>3494</v>
      </c>
      <c r="H2376" s="37">
        <f>3494</f>
        <v>3494</v>
      </c>
    </row>
    <row r="2377" spans="1:8" s="2" customFormat="1">
      <c r="A2377" s="5"/>
      <c r="C2377" s="2" t="s">
        <v>2951</v>
      </c>
      <c r="D2377" s="2">
        <v>110000</v>
      </c>
      <c r="E2377" s="20" t="s">
        <v>3055</v>
      </c>
      <c r="F2377" s="2">
        <v>630000</v>
      </c>
      <c r="G2377" s="32">
        <f>(SUM(G2345:G2376)-G2357-G2368-G2360-G2365)*0.2</f>
        <v>192506.49800000002</v>
      </c>
      <c r="H2377" s="32">
        <f>(SUM(H2345:H2376)-H2357-H2368-H2360-H2365)*0.2</f>
        <v>172586.29800000001</v>
      </c>
    </row>
    <row r="2378" spans="1:8" s="2" customFormat="1">
      <c r="A2378" s="5"/>
      <c r="C2378" s="8" t="s">
        <v>1129</v>
      </c>
      <c r="E2378" s="20"/>
      <c r="G2378" s="32">
        <f>SUM(G2345:G2377)-G2368-G2360-G2357-G2365</f>
        <v>1155038.9879999999</v>
      </c>
      <c r="H2378" s="32">
        <f>SUM(H2345:H2377)-H2368-H2360-H2357-H2365</f>
        <v>1035517.7879999999</v>
      </c>
    </row>
    <row r="2379" spans="1:8" s="2" customFormat="1">
      <c r="A2379" s="5"/>
      <c r="C2379" s="2" t="s">
        <v>2234</v>
      </c>
      <c r="D2379" s="2">
        <v>110000</v>
      </c>
      <c r="E2379" s="20" t="s">
        <v>3055</v>
      </c>
      <c r="F2379" s="2">
        <v>710000</v>
      </c>
      <c r="G2379" s="32">
        <f>35463-3186</f>
        <v>32277</v>
      </c>
      <c r="H2379" s="32">
        <f>35463-3186</f>
        <v>32277</v>
      </c>
    </row>
    <row r="2380" spans="1:8" s="2" customFormat="1">
      <c r="A2380" s="5"/>
      <c r="C2380" s="8" t="s">
        <v>2235</v>
      </c>
      <c r="E2380" s="20"/>
      <c r="G2380" s="32">
        <f>G2378+G2379</f>
        <v>1187315.9879999999</v>
      </c>
      <c r="H2380" s="32">
        <f>H2378+H2379</f>
        <v>1067794.7879999999</v>
      </c>
    </row>
    <row r="2381" spans="1:8" s="2" customFormat="1">
      <c r="A2381" s="5"/>
      <c r="C2381" s="8"/>
      <c r="E2381" s="20"/>
      <c r="G2381" s="32"/>
      <c r="H2381" s="32"/>
    </row>
    <row r="2382" spans="1:8" s="2" customFormat="1">
      <c r="A2382" s="5" t="s">
        <v>3056</v>
      </c>
      <c r="B2382" s="2" t="s">
        <v>30</v>
      </c>
      <c r="E2382" s="20"/>
      <c r="G2382" s="32"/>
      <c r="H2382" s="32"/>
    </row>
    <row r="2383" spans="1:8" s="2" customFormat="1">
      <c r="A2383" s="5"/>
      <c r="E2383" s="20"/>
      <c r="G2383" s="32"/>
      <c r="H2383" s="32"/>
    </row>
    <row r="2384" spans="1:8" s="2" customFormat="1">
      <c r="A2384" s="5" t="s">
        <v>1266</v>
      </c>
      <c r="B2384" s="2" t="s">
        <v>31</v>
      </c>
      <c r="C2384" s="2" t="s">
        <v>1029</v>
      </c>
      <c r="D2384" s="2">
        <v>110000</v>
      </c>
      <c r="E2384" s="20" t="s">
        <v>3056</v>
      </c>
      <c r="F2384" s="2">
        <v>610110</v>
      </c>
      <c r="G2384" s="32">
        <f>63606+2368</f>
        <v>65974</v>
      </c>
      <c r="H2384" s="32">
        <f>63606+2368</f>
        <v>65974</v>
      </c>
    </row>
    <row r="2385" spans="1:8" s="2" customFormat="1">
      <c r="A2385" s="5" t="s">
        <v>1267</v>
      </c>
      <c r="B2385" s="2" t="s">
        <v>33</v>
      </c>
      <c r="C2385" s="2" t="s">
        <v>2490</v>
      </c>
      <c r="D2385" s="2">
        <v>110000</v>
      </c>
      <c r="E2385" s="20" t="s">
        <v>3056</v>
      </c>
      <c r="F2385" s="2">
        <v>610110</v>
      </c>
      <c r="G2385" s="32">
        <f>58675+2161</f>
        <v>60836</v>
      </c>
      <c r="H2385" s="32">
        <f>58675+2161</f>
        <v>60836</v>
      </c>
    </row>
    <row r="2386" spans="1:8" s="2" customFormat="1">
      <c r="A2386" s="5" t="s">
        <v>1268</v>
      </c>
      <c r="B2386" s="2" t="s">
        <v>34</v>
      </c>
      <c r="C2386" s="2" t="s">
        <v>544</v>
      </c>
      <c r="D2386" s="2">
        <v>110000</v>
      </c>
      <c r="E2386" s="20" t="s">
        <v>3056</v>
      </c>
      <c r="F2386" s="2">
        <v>610110</v>
      </c>
      <c r="G2386" s="32">
        <f>39450+1161</f>
        <v>40611</v>
      </c>
      <c r="H2386" s="32">
        <f>39450+1161</f>
        <v>40611</v>
      </c>
    </row>
    <row r="2387" spans="1:8" s="2" customFormat="1">
      <c r="A2387" s="5" t="s">
        <v>1269</v>
      </c>
      <c r="B2387" s="2" t="s">
        <v>35</v>
      </c>
      <c r="C2387" s="2" t="s">
        <v>544</v>
      </c>
      <c r="D2387" s="2">
        <v>110000</v>
      </c>
      <c r="E2387" s="20" t="s">
        <v>3056</v>
      </c>
      <c r="F2387" s="2">
        <v>610110</v>
      </c>
      <c r="G2387" s="32">
        <f>46872+1561</f>
        <v>48433</v>
      </c>
      <c r="H2387" s="32">
        <f>46872+1561</f>
        <v>48433</v>
      </c>
    </row>
    <row r="2388" spans="1:8" s="2" customFormat="1">
      <c r="A2388" s="5" t="s">
        <v>1270</v>
      </c>
      <c r="B2388" s="2" t="s">
        <v>36</v>
      </c>
      <c r="C2388" s="2" t="s">
        <v>544</v>
      </c>
      <c r="D2388" s="2">
        <v>110000</v>
      </c>
      <c r="E2388" s="20" t="s">
        <v>3056</v>
      </c>
      <c r="F2388" s="2">
        <v>610110</v>
      </c>
      <c r="G2388" s="32">
        <f>41083+1561</f>
        <v>42644</v>
      </c>
      <c r="H2388" s="32">
        <f>41083+1561</f>
        <v>42644</v>
      </c>
    </row>
    <row r="2389" spans="1:8" s="2" customFormat="1">
      <c r="A2389" s="5" t="s">
        <v>1271</v>
      </c>
      <c r="B2389" s="2" t="s">
        <v>37</v>
      </c>
      <c r="C2389" s="2" t="s">
        <v>2106</v>
      </c>
      <c r="D2389" s="2">
        <v>110000</v>
      </c>
      <c r="E2389" s="20" t="s">
        <v>3056</v>
      </c>
      <c r="F2389" s="2">
        <v>610110</v>
      </c>
      <c r="G2389" s="32">
        <f>26472+962</f>
        <v>27434</v>
      </c>
      <c r="H2389" s="32">
        <f>26472+962</f>
        <v>27434</v>
      </c>
    </row>
    <row r="2390" spans="1:8" s="2" customFormat="1">
      <c r="A2390" s="5" t="s">
        <v>1272</v>
      </c>
      <c r="B2390" s="2" t="s">
        <v>38</v>
      </c>
      <c r="C2390" s="2" t="s">
        <v>1031</v>
      </c>
      <c r="D2390" s="2">
        <v>110000</v>
      </c>
      <c r="E2390" s="20" t="s">
        <v>3056</v>
      </c>
      <c r="F2390" s="2">
        <v>610110</v>
      </c>
      <c r="G2390" s="32">
        <f>35168+962</f>
        <v>36130</v>
      </c>
      <c r="H2390" s="32">
        <f>35168+962</f>
        <v>36130</v>
      </c>
    </row>
    <row r="2391" spans="1:8" s="2" customFormat="1">
      <c r="A2391" s="5" t="s">
        <v>1273</v>
      </c>
      <c r="B2391" s="2" t="s">
        <v>140</v>
      </c>
      <c r="C2391" s="2" t="s">
        <v>1023</v>
      </c>
      <c r="D2391" s="2">
        <v>110000</v>
      </c>
      <c r="E2391" s="20" t="s">
        <v>3056</v>
      </c>
      <c r="F2391" s="2">
        <v>610410</v>
      </c>
      <c r="G2391" s="32">
        <f>16832+471</f>
        <v>17303</v>
      </c>
      <c r="H2391" s="32">
        <f>16832+471</f>
        <v>17303</v>
      </c>
    </row>
    <row r="2392" spans="1:8" s="2" customFormat="1">
      <c r="A2392" s="5" t="s">
        <v>1274</v>
      </c>
      <c r="B2392" s="2" t="s">
        <v>1153</v>
      </c>
      <c r="C2392" s="2" t="s">
        <v>2106</v>
      </c>
      <c r="D2392" s="2">
        <v>110000</v>
      </c>
      <c r="E2392" s="20" t="s">
        <v>3056</v>
      </c>
      <c r="F2392" s="2">
        <v>610110</v>
      </c>
      <c r="G2392" s="32">
        <f>26000+962</f>
        <v>26962</v>
      </c>
      <c r="H2392" s="32">
        <f>26000+962</f>
        <v>26962</v>
      </c>
    </row>
    <row r="2393" spans="1:8" s="2" customFormat="1">
      <c r="A2393" s="5" t="s">
        <v>1275</v>
      </c>
      <c r="B2393" s="2" t="s">
        <v>1154</v>
      </c>
      <c r="C2393" s="2" t="s">
        <v>2106</v>
      </c>
      <c r="D2393" s="2">
        <v>110000</v>
      </c>
      <c r="E2393" s="20" t="s">
        <v>3056</v>
      </c>
      <c r="F2393" s="2">
        <v>610110</v>
      </c>
      <c r="G2393" s="32">
        <f>32500+962</f>
        <v>33462</v>
      </c>
      <c r="H2393" s="32">
        <f>32500+962</f>
        <v>33462</v>
      </c>
    </row>
    <row r="2394" spans="1:8" s="2" customFormat="1">
      <c r="A2394" s="5" t="s">
        <v>1276</v>
      </c>
      <c r="B2394" s="2" t="s">
        <v>1155</v>
      </c>
      <c r="C2394" s="2" t="s">
        <v>148</v>
      </c>
      <c r="D2394" s="2">
        <v>110000</v>
      </c>
      <c r="E2394" s="20" t="s">
        <v>3056</v>
      </c>
      <c r="F2394" s="2">
        <v>610110</v>
      </c>
      <c r="G2394" s="32">
        <f>35000+1061</f>
        <v>36061</v>
      </c>
      <c r="H2394" s="32">
        <f>35000+1061</f>
        <v>36061</v>
      </c>
    </row>
    <row r="2395" spans="1:8" s="2" customFormat="1">
      <c r="A2395" s="5"/>
      <c r="C2395" s="2" t="s">
        <v>1611</v>
      </c>
      <c r="D2395" s="2">
        <v>110000</v>
      </c>
      <c r="E2395" s="20" t="s">
        <v>3056</v>
      </c>
      <c r="F2395" s="2">
        <v>620000</v>
      </c>
      <c r="G2395" s="32">
        <v>2710</v>
      </c>
      <c r="H2395" s="32">
        <v>2710</v>
      </c>
    </row>
    <row r="2396" spans="1:8" s="2" customFormat="1">
      <c r="A2396" s="5"/>
      <c r="C2396" s="2" t="s">
        <v>2950</v>
      </c>
      <c r="D2396" s="2">
        <v>110000</v>
      </c>
      <c r="E2396" s="20" t="s">
        <v>3056</v>
      </c>
      <c r="F2396" s="2">
        <v>610000</v>
      </c>
      <c r="G2396" s="36"/>
      <c r="H2396" s="36"/>
    </row>
    <row r="2397" spans="1:8" s="2" customFormat="1">
      <c r="A2397" s="5"/>
      <c r="C2397" s="2" t="s">
        <v>2951</v>
      </c>
      <c r="D2397" s="2">
        <v>110000</v>
      </c>
      <c r="E2397" s="20" t="s">
        <v>3056</v>
      </c>
      <c r="F2397" s="2">
        <v>630000</v>
      </c>
      <c r="G2397" s="32">
        <f>(SUM(G2384:G2396))*0.19</f>
        <v>83326.399999999994</v>
      </c>
      <c r="H2397" s="32">
        <f>(SUM(H2384:H2396))*0.19</f>
        <v>83326.399999999994</v>
      </c>
    </row>
    <row r="2398" spans="1:8" s="2" customFormat="1">
      <c r="A2398" s="5"/>
      <c r="C2398" s="8" t="s">
        <v>1129</v>
      </c>
      <c r="E2398" s="20"/>
      <c r="G2398" s="32">
        <f>SUM(G2384:G2397)</f>
        <v>521886.4</v>
      </c>
      <c r="H2398" s="32">
        <f>SUM(H2384:H2397)</f>
        <v>521886.4</v>
      </c>
    </row>
    <row r="2399" spans="1:8" s="2" customFormat="1">
      <c r="A2399" s="5"/>
      <c r="C2399" s="2" t="s">
        <v>2234</v>
      </c>
      <c r="D2399" s="2">
        <v>110000</v>
      </c>
      <c r="E2399" s="20" t="s">
        <v>3056</v>
      </c>
      <c r="F2399" s="2">
        <v>710000</v>
      </c>
      <c r="G2399" s="32">
        <v>20672</v>
      </c>
      <c r="H2399" s="32">
        <v>20672</v>
      </c>
    </row>
    <row r="2400" spans="1:8" s="2" customFormat="1">
      <c r="A2400" s="5"/>
      <c r="C2400" s="8" t="s">
        <v>2235</v>
      </c>
      <c r="E2400" s="20"/>
      <c r="G2400" s="32">
        <f>G2398+G2399</f>
        <v>542558.4</v>
      </c>
      <c r="H2400" s="32">
        <f>H2398+H2399</f>
        <v>542558.4</v>
      </c>
    </row>
    <row r="2401" spans="1:8" s="2" customFormat="1">
      <c r="A2401" s="5"/>
      <c r="C2401" s="8"/>
      <c r="E2401" s="20"/>
      <c r="G2401" s="32"/>
      <c r="H2401" s="32"/>
    </row>
    <row r="2402" spans="1:8" s="2" customFormat="1">
      <c r="A2402" s="5" t="s">
        <v>3057</v>
      </c>
      <c r="B2402" s="2" t="s">
        <v>312</v>
      </c>
      <c r="C2402" s="8"/>
      <c r="E2402" s="20"/>
      <c r="G2402" s="32"/>
      <c r="H2402" s="32"/>
    </row>
    <row r="2403" spans="1:8" s="2" customFormat="1">
      <c r="A2403" s="5"/>
      <c r="C2403" s="8"/>
      <c r="E2403" s="20"/>
      <c r="G2403" s="32"/>
      <c r="H2403" s="32"/>
    </row>
    <row r="2404" spans="1:8" s="2" customFormat="1">
      <c r="A2404" s="5"/>
      <c r="C2404" s="2" t="s">
        <v>2234</v>
      </c>
      <c r="D2404" s="2">
        <v>110000</v>
      </c>
      <c r="E2404" s="20" t="s">
        <v>3057</v>
      </c>
      <c r="F2404" s="2">
        <v>710000</v>
      </c>
      <c r="G2404" s="32">
        <v>15000</v>
      </c>
      <c r="H2404" s="32">
        <v>15000</v>
      </c>
    </row>
    <row r="2405" spans="1:8" s="2" customFormat="1">
      <c r="A2405" s="5"/>
      <c r="C2405" s="8" t="s">
        <v>2235</v>
      </c>
      <c r="E2405" s="20"/>
      <c r="G2405" s="32">
        <f>G2404</f>
        <v>15000</v>
      </c>
      <c r="H2405" s="32">
        <f>H2404</f>
        <v>15000</v>
      </c>
    </row>
    <row r="2406" spans="1:8" s="2" customFormat="1">
      <c r="A2406" s="5"/>
      <c r="C2406" s="8"/>
      <c r="E2406" s="20"/>
      <c r="G2406" s="32"/>
      <c r="H2406" s="32"/>
    </row>
    <row r="2407" spans="1:8" s="2" customFormat="1">
      <c r="A2407" s="15">
        <v>650000</v>
      </c>
      <c r="B2407" s="2" t="s">
        <v>1063</v>
      </c>
      <c r="D2407" s="26"/>
      <c r="G2407" s="32"/>
      <c r="H2407" s="32"/>
    </row>
    <row r="2408" spans="1:8" s="2" customFormat="1">
      <c r="D2408" s="26"/>
      <c r="G2408" s="32"/>
      <c r="H2408" s="32"/>
    </row>
    <row r="2409" spans="1:8" s="2" customFormat="1">
      <c r="A2409" s="15" t="s">
        <v>1064</v>
      </c>
      <c r="C2409" s="2" t="s">
        <v>328</v>
      </c>
      <c r="D2409" s="26">
        <v>110000</v>
      </c>
      <c r="E2409" s="2">
        <v>650000</v>
      </c>
      <c r="F2409" s="19">
        <v>799999</v>
      </c>
      <c r="G2409" s="32">
        <f>308792-12352</f>
        <v>296440</v>
      </c>
      <c r="H2409" s="32">
        <f>308792-12352</f>
        <v>296440</v>
      </c>
    </row>
    <row r="2410" spans="1:8" s="2" customFormat="1">
      <c r="A2410" s="15" t="s">
        <v>2873</v>
      </c>
      <c r="C2410" s="2" t="s">
        <v>2063</v>
      </c>
      <c r="D2410" s="26">
        <v>110000</v>
      </c>
      <c r="E2410" s="2">
        <v>650000</v>
      </c>
      <c r="F2410" s="19">
        <v>799999</v>
      </c>
      <c r="G2410" s="32">
        <f>479321-19173</f>
        <v>460148</v>
      </c>
      <c r="H2410" s="32">
        <f>479321-19173</f>
        <v>460148</v>
      </c>
    </row>
    <row r="2411" spans="1:8" s="2" customFormat="1">
      <c r="A2411" s="15" t="s">
        <v>2874</v>
      </c>
      <c r="C2411" s="2" t="s">
        <v>2950</v>
      </c>
      <c r="D2411" s="26">
        <v>110000</v>
      </c>
      <c r="E2411" s="2">
        <v>650000</v>
      </c>
      <c r="F2411" s="19">
        <v>799999</v>
      </c>
      <c r="G2411" s="32"/>
      <c r="H2411" s="32"/>
    </row>
    <row r="2412" spans="1:8" s="2" customFormat="1">
      <c r="C2412" s="2" t="s">
        <v>2951</v>
      </c>
      <c r="D2412" s="26">
        <v>110000</v>
      </c>
      <c r="E2412" s="2">
        <v>650000</v>
      </c>
      <c r="F2412" s="19">
        <v>799999</v>
      </c>
      <c r="G2412" s="32">
        <f>G2409*0.08+G2410*0.18+G2411*0.21</f>
        <v>106541.84</v>
      </c>
      <c r="H2412" s="32">
        <f>H2409*0.08+H2410*0.18+H2411*0.21</f>
        <v>106541.84</v>
      </c>
    </row>
    <row r="2413" spans="1:8" s="2" customFormat="1">
      <c r="C2413" s="8" t="s">
        <v>1129</v>
      </c>
      <c r="D2413" s="26"/>
      <c r="G2413" s="32">
        <f>SUM(G2409:G2412)</f>
        <v>863129.84</v>
      </c>
      <c r="H2413" s="32">
        <f>SUM(H2409:H2412)</f>
        <v>863129.84</v>
      </c>
    </row>
    <row r="2414" spans="1:8" s="2" customFormat="1">
      <c r="C2414" s="8" t="s">
        <v>2235</v>
      </c>
      <c r="D2414" s="26"/>
      <c r="G2414" s="32">
        <f>G2413</f>
        <v>863129.84</v>
      </c>
      <c r="H2414" s="32">
        <f>H2413</f>
        <v>863129.84</v>
      </c>
    </row>
    <row r="2415" spans="1:8" s="2" customFormat="1">
      <c r="D2415" s="26"/>
      <c r="G2415" s="32"/>
      <c r="H2415" s="32"/>
    </row>
    <row r="2416" spans="1:8" s="2" customFormat="1">
      <c r="A2416" s="5" t="s">
        <v>498</v>
      </c>
      <c r="B2416" s="2" t="s">
        <v>1471</v>
      </c>
      <c r="E2416" s="20"/>
      <c r="G2416" s="32"/>
      <c r="H2416" s="32"/>
    </row>
    <row r="2417" spans="1:8" s="2" customFormat="1">
      <c r="A2417" s="5"/>
      <c r="E2417" s="20"/>
      <c r="G2417" s="32"/>
      <c r="H2417" s="32"/>
    </row>
    <row r="2418" spans="1:8" s="2" customFormat="1">
      <c r="A2418" s="5" t="s">
        <v>2364</v>
      </c>
      <c r="B2418" s="2" t="s">
        <v>2069</v>
      </c>
      <c r="C2418" s="2" t="s">
        <v>1472</v>
      </c>
      <c r="D2418" s="2">
        <v>110000</v>
      </c>
      <c r="E2418" s="20" t="s">
        <v>498</v>
      </c>
      <c r="F2418" s="2">
        <v>610110</v>
      </c>
      <c r="G2418" s="32">
        <f>92245+2675</f>
        <v>94920</v>
      </c>
      <c r="H2418" s="32">
        <f>92245+2675</f>
        <v>94920</v>
      </c>
    </row>
    <row r="2419" spans="1:8" s="2" customFormat="1">
      <c r="A2419" s="5" t="s">
        <v>2365</v>
      </c>
      <c r="B2419" s="2" t="s">
        <v>2790</v>
      </c>
      <c r="C2419" s="2" t="s">
        <v>544</v>
      </c>
      <c r="D2419" s="2">
        <v>110000</v>
      </c>
      <c r="E2419" s="20" t="s">
        <v>498</v>
      </c>
      <c r="F2419" s="2">
        <v>610110</v>
      </c>
      <c r="G2419" s="32">
        <f>74656+2165</f>
        <v>76821</v>
      </c>
      <c r="H2419" s="32">
        <f>74656+2165</f>
        <v>76821</v>
      </c>
    </row>
    <row r="2420" spans="1:8" s="2" customFormat="1">
      <c r="A2420" s="5"/>
      <c r="D2420" s="2">
        <v>168095</v>
      </c>
      <c r="E2420" s="20" t="s">
        <v>498</v>
      </c>
      <c r="F2420" s="2">
        <v>610110</v>
      </c>
      <c r="G2420" s="32">
        <f>8590+241</f>
        <v>8831</v>
      </c>
      <c r="H2420" s="32">
        <v>0</v>
      </c>
    </row>
    <row r="2421" spans="1:8" s="2" customFormat="1">
      <c r="A2421" s="5"/>
      <c r="E2421" s="5" t="s">
        <v>2880</v>
      </c>
      <c r="G2421" s="32">
        <f>G2419+G2420</f>
        <v>85652</v>
      </c>
      <c r="H2421" s="32">
        <f>H2419+H2420</f>
        <v>76821</v>
      </c>
    </row>
    <row r="2422" spans="1:8" s="2" customFormat="1">
      <c r="A2422" s="5" t="s">
        <v>2366</v>
      </c>
      <c r="B2422" s="2" t="s">
        <v>2631</v>
      </c>
      <c r="C2422" s="2" t="s">
        <v>2170</v>
      </c>
      <c r="D2422" s="2">
        <v>110000</v>
      </c>
      <c r="E2422" s="20" t="s">
        <v>498</v>
      </c>
      <c r="F2422" s="2">
        <v>610210</v>
      </c>
      <c r="G2422" s="32">
        <f>34778+7222</f>
        <v>42000</v>
      </c>
      <c r="H2422" s="32">
        <f>34778+7222</f>
        <v>42000</v>
      </c>
    </row>
    <row r="2423" spans="1:8" s="2" customFormat="1">
      <c r="A2423" s="5" t="s">
        <v>2367</v>
      </c>
      <c r="B2423" s="2" t="s">
        <v>2630</v>
      </c>
      <c r="C2423" s="2" t="s">
        <v>1061</v>
      </c>
      <c r="D2423" s="2">
        <v>110000</v>
      </c>
      <c r="E2423" s="20" t="s">
        <v>498</v>
      </c>
      <c r="F2423" s="2">
        <v>610410</v>
      </c>
      <c r="G2423" s="32">
        <f>19909+557</f>
        <v>20466</v>
      </c>
      <c r="H2423" s="32">
        <f>19909+557</f>
        <v>20466</v>
      </c>
    </row>
    <row r="2424" spans="1:8" s="2" customFormat="1">
      <c r="A2424" s="5" t="s">
        <v>2368</v>
      </c>
      <c r="B2424" s="2" t="s">
        <v>545</v>
      </c>
      <c r="C2424" s="2" t="s">
        <v>1613</v>
      </c>
      <c r="D2424" s="2">
        <v>110000</v>
      </c>
      <c r="E2424" s="20" t="s">
        <v>498</v>
      </c>
      <c r="F2424" s="2">
        <v>610410</v>
      </c>
      <c r="G2424" s="32">
        <f>21888+613</f>
        <v>22501</v>
      </c>
      <c r="H2424" s="32">
        <f>21888+613</f>
        <v>22501</v>
      </c>
    </row>
    <row r="2425" spans="1:8" s="2" customFormat="1">
      <c r="A2425" s="5"/>
      <c r="C2425" s="2" t="s">
        <v>1611</v>
      </c>
      <c r="D2425" s="2">
        <v>110000</v>
      </c>
      <c r="E2425" s="20" t="s">
        <v>498</v>
      </c>
      <c r="F2425" s="2">
        <v>620000</v>
      </c>
      <c r="G2425" s="32">
        <v>3000</v>
      </c>
      <c r="H2425" s="32">
        <v>3000</v>
      </c>
    </row>
    <row r="2426" spans="1:8" s="2" customFormat="1">
      <c r="A2426" s="5"/>
      <c r="C2426" s="2" t="s">
        <v>2950</v>
      </c>
      <c r="D2426" s="2">
        <v>110000</v>
      </c>
      <c r="E2426" s="20" t="s">
        <v>498</v>
      </c>
      <c r="F2426" s="2">
        <v>610000</v>
      </c>
      <c r="G2426" s="36"/>
      <c r="H2426" s="36"/>
    </row>
    <row r="2427" spans="1:8" s="2" customFormat="1">
      <c r="A2427" s="5"/>
      <c r="C2427" s="2" t="s">
        <v>2951</v>
      </c>
      <c r="D2427" s="2">
        <v>110000</v>
      </c>
      <c r="E2427" s="20" t="s">
        <v>498</v>
      </c>
      <c r="F2427" s="2">
        <v>630000</v>
      </c>
      <c r="G2427" s="32">
        <f>(SUM(G2418:G2426)-G2421)*0.19</f>
        <v>51022.41</v>
      </c>
      <c r="H2427" s="32">
        <f>(SUM(H2418:H2426)-H2421)*0.19</f>
        <v>49344.520000000004</v>
      </c>
    </row>
    <row r="2428" spans="1:8" s="2" customFormat="1">
      <c r="A2428" s="5"/>
      <c r="C2428" s="8" t="s">
        <v>1129</v>
      </c>
      <c r="E2428" s="20"/>
      <c r="G2428" s="32">
        <f>SUM(G2418:G2427)-G2421</f>
        <v>319561.41000000003</v>
      </c>
      <c r="H2428" s="32">
        <f>SUM(H2418:H2427)-H2421</f>
        <v>309052.52</v>
      </c>
    </row>
    <row r="2429" spans="1:8" s="2" customFormat="1">
      <c r="A2429" s="5"/>
      <c r="C2429" s="2" t="s">
        <v>2234</v>
      </c>
      <c r="D2429" s="2">
        <v>110000</v>
      </c>
      <c r="E2429" s="20" t="s">
        <v>498</v>
      </c>
      <c r="F2429" s="2">
        <v>710000</v>
      </c>
      <c r="G2429" s="32">
        <v>19786</v>
      </c>
      <c r="H2429" s="32">
        <v>19786</v>
      </c>
    </row>
    <row r="2430" spans="1:8" s="2" customFormat="1">
      <c r="A2430" s="5"/>
      <c r="C2430" s="8" t="s">
        <v>2235</v>
      </c>
      <c r="E2430" s="20"/>
      <c r="G2430" s="32">
        <f>G2428+G2429</f>
        <v>339347.41000000003</v>
      </c>
      <c r="H2430" s="32">
        <f>H2428+H2429</f>
        <v>328838.52</v>
      </c>
    </row>
    <row r="2431" spans="1:8" s="2" customFormat="1">
      <c r="A2431" s="5"/>
      <c r="E2431" s="20"/>
      <c r="G2431" s="32"/>
      <c r="H2431" s="32"/>
    </row>
    <row r="2432" spans="1:8" s="2" customFormat="1">
      <c r="A2432" s="5" t="s">
        <v>3040</v>
      </c>
      <c r="B2432" s="2" t="s">
        <v>1796</v>
      </c>
      <c r="G2432" s="32"/>
      <c r="H2432" s="32"/>
    </row>
    <row r="2433" spans="1:8" s="2" customFormat="1">
      <c r="A2433" s="5"/>
      <c r="G2433" s="32"/>
      <c r="H2433" s="32"/>
    </row>
    <row r="2434" spans="1:8" s="2" customFormat="1">
      <c r="A2434" s="6" t="s">
        <v>631</v>
      </c>
      <c r="B2434" s="2" t="s">
        <v>1797</v>
      </c>
      <c r="C2434" s="2" t="s">
        <v>1029</v>
      </c>
      <c r="D2434" s="2">
        <v>110000</v>
      </c>
      <c r="E2434" s="2">
        <v>650210</v>
      </c>
      <c r="F2434" s="2">
        <v>610110</v>
      </c>
      <c r="G2434" s="32">
        <f>70740+1690</f>
        <v>72430</v>
      </c>
      <c r="H2434" s="32">
        <f>70740+1690</f>
        <v>72430</v>
      </c>
    </row>
    <row r="2435" spans="1:8" s="2" customFormat="1">
      <c r="A2435" s="6" t="s">
        <v>632</v>
      </c>
      <c r="B2435" s="2" t="s">
        <v>1798</v>
      </c>
      <c r="C2435" s="2" t="s">
        <v>2490</v>
      </c>
      <c r="D2435" s="2">
        <v>110000</v>
      </c>
      <c r="E2435" s="2">
        <v>650210</v>
      </c>
      <c r="F2435" s="2">
        <v>610110</v>
      </c>
      <c r="G2435" s="32">
        <f>60185+1800</f>
        <v>61985</v>
      </c>
      <c r="H2435" s="32">
        <f>60185+1800</f>
        <v>61985</v>
      </c>
    </row>
    <row r="2436" spans="1:8" s="2" customFormat="1">
      <c r="A2436" s="6" t="s">
        <v>633</v>
      </c>
      <c r="B2436" s="2" t="s">
        <v>1799</v>
      </c>
      <c r="C2436" s="2" t="s">
        <v>2490</v>
      </c>
      <c r="D2436" s="2">
        <v>110000</v>
      </c>
      <c r="E2436" s="2">
        <v>650210</v>
      </c>
      <c r="F2436" s="2">
        <v>610110</v>
      </c>
      <c r="G2436" s="32">
        <f>56638+1529</f>
        <v>58167</v>
      </c>
      <c r="H2436" s="32">
        <f>56638+1529</f>
        <v>58167</v>
      </c>
    </row>
    <row r="2437" spans="1:8" s="2" customFormat="1">
      <c r="A2437" s="6" t="s">
        <v>1997</v>
      </c>
      <c r="B2437" s="2" t="s">
        <v>2489</v>
      </c>
      <c r="C2437" s="2" t="s">
        <v>2490</v>
      </c>
      <c r="D2437" s="2">
        <v>110000</v>
      </c>
      <c r="E2437" s="2">
        <v>650210</v>
      </c>
      <c r="F2437" s="2">
        <v>610110</v>
      </c>
      <c r="G2437" s="32">
        <f>63205+1833</f>
        <v>65038</v>
      </c>
      <c r="H2437" s="32">
        <f>63205+1833</f>
        <v>65038</v>
      </c>
    </row>
    <row r="2438" spans="1:8" s="2" customFormat="1">
      <c r="A2438" s="6"/>
      <c r="D2438" s="2">
        <v>110000</v>
      </c>
      <c r="E2438" s="2">
        <v>650212</v>
      </c>
      <c r="F2438" s="2">
        <v>610110</v>
      </c>
      <c r="G2438" s="32">
        <f>11154+322</f>
        <v>11476</v>
      </c>
      <c r="H2438" s="32"/>
    </row>
    <row r="2439" spans="1:8" s="2" customFormat="1">
      <c r="A2439" s="6"/>
      <c r="E2439" s="2" t="s">
        <v>2880</v>
      </c>
      <c r="G2439" s="32">
        <f>SUM(G2437:G2438)</f>
        <v>76514</v>
      </c>
      <c r="H2439" s="32">
        <f>SUM(H2437:H2438)</f>
        <v>65038</v>
      </c>
    </row>
    <row r="2440" spans="1:8" s="2" customFormat="1">
      <c r="A2440" s="6" t="s">
        <v>634</v>
      </c>
      <c r="B2440" s="2" t="s">
        <v>1800</v>
      </c>
      <c r="C2440" s="2" t="s">
        <v>2490</v>
      </c>
      <c r="D2440" s="2">
        <v>110000</v>
      </c>
      <c r="E2440" s="2">
        <v>650210</v>
      </c>
      <c r="F2440" s="2">
        <v>610110</v>
      </c>
      <c r="G2440" s="32">
        <f>61900+1727</f>
        <v>63627</v>
      </c>
      <c r="H2440" s="32">
        <f>61900+1727</f>
        <v>63627</v>
      </c>
    </row>
    <row r="2441" spans="1:8" s="2" customFormat="1">
      <c r="A2441" s="6" t="s">
        <v>635</v>
      </c>
      <c r="B2441" s="2" t="s">
        <v>1801</v>
      </c>
      <c r="C2441" s="2" t="s">
        <v>2490</v>
      </c>
      <c r="D2441" s="2">
        <v>110000</v>
      </c>
      <c r="E2441" s="2">
        <v>650210</v>
      </c>
      <c r="F2441" s="2">
        <v>610110</v>
      </c>
      <c r="G2441" s="32">
        <f>58862+1672</f>
        <v>60534</v>
      </c>
      <c r="H2441" s="32">
        <f>58862+1672</f>
        <v>60534</v>
      </c>
    </row>
    <row r="2442" spans="1:8" s="2" customFormat="1">
      <c r="A2442" s="6" t="s">
        <v>636</v>
      </c>
      <c r="B2442" s="2" t="s">
        <v>1802</v>
      </c>
      <c r="C2442" s="2" t="s">
        <v>2490</v>
      </c>
      <c r="D2442" s="2">
        <v>110000</v>
      </c>
      <c r="E2442" s="2">
        <v>650210</v>
      </c>
      <c r="F2442" s="2">
        <v>610110</v>
      </c>
      <c r="G2442" s="32">
        <f>53523+1392</f>
        <v>54915</v>
      </c>
      <c r="H2442" s="32">
        <f>53523+1392</f>
        <v>54915</v>
      </c>
    </row>
    <row r="2443" spans="1:8" s="2" customFormat="1">
      <c r="A2443" s="6" t="s">
        <v>637</v>
      </c>
      <c r="B2443" s="2" t="s">
        <v>1111</v>
      </c>
      <c r="C2443" s="2" t="s">
        <v>2490</v>
      </c>
      <c r="D2443" s="2">
        <v>110000</v>
      </c>
      <c r="E2443" s="2">
        <v>650210</v>
      </c>
      <c r="F2443" s="2">
        <v>610110</v>
      </c>
      <c r="G2443" s="32">
        <f>57211+1585</f>
        <v>58796</v>
      </c>
      <c r="H2443" s="32">
        <f>57211+1585</f>
        <v>58796</v>
      </c>
    </row>
    <row r="2444" spans="1:8" s="2" customFormat="1">
      <c r="A2444" s="6" t="s">
        <v>638</v>
      </c>
      <c r="B2444" s="2" t="s">
        <v>1112</v>
      </c>
      <c r="C2444" s="2" t="s">
        <v>2490</v>
      </c>
      <c r="D2444" s="2">
        <v>110000</v>
      </c>
      <c r="E2444" s="2">
        <v>650210</v>
      </c>
      <c r="F2444" s="2">
        <v>610110</v>
      </c>
      <c r="G2444" s="32">
        <f>52336+1502</f>
        <v>53838</v>
      </c>
      <c r="H2444" s="32">
        <f>52336+1502</f>
        <v>53838</v>
      </c>
    </row>
    <row r="2445" spans="1:8" s="2" customFormat="1">
      <c r="A2445" s="6" t="s">
        <v>639</v>
      </c>
      <c r="B2445" s="2" t="s">
        <v>1113</v>
      </c>
      <c r="C2445" s="2" t="s">
        <v>2490</v>
      </c>
      <c r="D2445" s="2">
        <v>110000</v>
      </c>
      <c r="E2445" s="2">
        <v>650210</v>
      </c>
      <c r="F2445" s="2">
        <v>610110</v>
      </c>
      <c r="G2445" s="32">
        <f>52251+1421</f>
        <v>53672</v>
      </c>
      <c r="H2445" s="32">
        <f>52251+1421</f>
        <v>53672</v>
      </c>
    </row>
    <row r="2446" spans="1:8" s="2" customFormat="1">
      <c r="A2446" s="6" t="s">
        <v>640</v>
      </c>
      <c r="B2446" s="2" t="s">
        <v>1114</v>
      </c>
      <c r="C2446" s="2" t="s">
        <v>2490</v>
      </c>
      <c r="D2446" s="2">
        <v>110000</v>
      </c>
      <c r="E2446" s="2">
        <v>650210</v>
      </c>
      <c r="F2446" s="2">
        <v>610110</v>
      </c>
      <c r="G2446" s="32">
        <f>45791+1323</f>
        <v>47114</v>
      </c>
      <c r="H2446" s="32">
        <f>45791+1323</f>
        <v>47114</v>
      </c>
    </row>
    <row r="2447" spans="1:8" s="2" customFormat="1">
      <c r="A2447" s="6" t="s">
        <v>641</v>
      </c>
      <c r="B2447" s="2" t="s">
        <v>1115</v>
      </c>
      <c r="C2447" s="2" t="s">
        <v>544</v>
      </c>
      <c r="D2447" s="2">
        <v>110000</v>
      </c>
      <c r="E2447" s="2">
        <v>650210</v>
      </c>
      <c r="F2447" s="2">
        <v>610110</v>
      </c>
      <c r="G2447" s="32">
        <f>42459+1231</f>
        <v>43690</v>
      </c>
      <c r="H2447" s="32">
        <f>42459+1231</f>
        <v>43690</v>
      </c>
    </row>
    <row r="2448" spans="1:8" s="2" customFormat="1">
      <c r="A2448" s="6" t="s">
        <v>642</v>
      </c>
      <c r="B2448" s="2" t="s">
        <v>1116</v>
      </c>
      <c r="C2448" s="2" t="s">
        <v>544</v>
      </c>
      <c r="D2448" s="2">
        <v>110000</v>
      </c>
      <c r="E2448" s="2">
        <v>650210</v>
      </c>
      <c r="F2448" s="2">
        <v>610110</v>
      </c>
      <c r="G2448" s="32">
        <f>45894+1299</f>
        <v>47193</v>
      </c>
      <c r="H2448" s="32">
        <f>45894+1299</f>
        <v>47193</v>
      </c>
    </row>
    <row r="2449" spans="1:8" s="2" customFormat="1">
      <c r="A2449" s="6" t="s">
        <v>643</v>
      </c>
      <c r="B2449" s="2" t="s">
        <v>1117</v>
      </c>
      <c r="C2449" s="2" t="s">
        <v>544</v>
      </c>
      <c r="D2449" s="2">
        <v>110000</v>
      </c>
      <c r="E2449" s="2">
        <v>650210</v>
      </c>
      <c r="F2449" s="2">
        <v>610110</v>
      </c>
      <c r="G2449" s="32">
        <f>48544+1301</f>
        <v>49845</v>
      </c>
      <c r="H2449" s="32">
        <f>48544+1301</f>
        <v>49845</v>
      </c>
    </row>
    <row r="2450" spans="1:8" s="2" customFormat="1">
      <c r="A2450" s="6" t="s">
        <v>644</v>
      </c>
      <c r="B2450" s="2" t="s">
        <v>1118</v>
      </c>
      <c r="C2450" s="2" t="s">
        <v>544</v>
      </c>
      <c r="D2450" s="2">
        <v>110000</v>
      </c>
      <c r="E2450" s="2">
        <v>650210</v>
      </c>
      <c r="F2450" s="2">
        <v>610110</v>
      </c>
      <c r="G2450" s="32">
        <f>64489+1690</f>
        <v>66179</v>
      </c>
      <c r="H2450" s="32">
        <f>64489+1690</f>
        <v>66179</v>
      </c>
    </row>
    <row r="2451" spans="1:8" s="2" customFormat="1">
      <c r="A2451" s="6" t="s">
        <v>645</v>
      </c>
      <c r="B2451" s="2" t="s">
        <v>1119</v>
      </c>
      <c r="C2451" s="2" t="s">
        <v>544</v>
      </c>
      <c r="D2451" s="2">
        <v>110000</v>
      </c>
      <c r="E2451" s="2">
        <v>650210</v>
      </c>
      <c r="F2451" s="2">
        <v>610110</v>
      </c>
      <c r="G2451" s="32">
        <f>39834+1000+1225</f>
        <v>42059</v>
      </c>
      <c r="H2451" s="32">
        <f>39834+1000+1225</f>
        <v>42059</v>
      </c>
    </row>
    <row r="2452" spans="1:8" s="2" customFormat="1">
      <c r="A2452" s="6" t="s">
        <v>646</v>
      </c>
      <c r="B2452" s="2" t="s">
        <v>1120</v>
      </c>
      <c r="C2452" s="2" t="s">
        <v>148</v>
      </c>
      <c r="D2452" s="2">
        <v>110000</v>
      </c>
      <c r="E2452" s="2">
        <v>650210</v>
      </c>
      <c r="F2452" s="2">
        <v>610110</v>
      </c>
      <c r="G2452" s="32">
        <f>37962+1033</f>
        <v>38995</v>
      </c>
      <c r="H2452" s="32">
        <f>37962+1033</f>
        <v>38995</v>
      </c>
    </row>
    <row r="2453" spans="1:8" s="2" customFormat="1">
      <c r="A2453" s="6" t="s">
        <v>647</v>
      </c>
      <c r="B2453" s="2" t="s">
        <v>1121</v>
      </c>
      <c r="C2453" s="2" t="s">
        <v>148</v>
      </c>
      <c r="D2453" s="2">
        <v>110000</v>
      </c>
      <c r="E2453" s="2">
        <v>650210</v>
      </c>
      <c r="F2453" s="2">
        <v>610110</v>
      </c>
      <c r="G2453" s="32">
        <f>39797+1106</f>
        <v>40903</v>
      </c>
      <c r="H2453" s="32">
        <f>39797+1106</f>
        <v>40903</v>
      </c>
    </row>
    <row r="2454" spans="1:8" s="2" customFormat="1">
      <c r="A2454" s="6" t="s">
        <v>648</v>
      </c>
      <c r="B2454" s="2" t="s">
        <v>1122</v>
      </c>
      <c r="C2454" s="2" t="s">
        <v>1608</v>
      </c>
      <c r="D2454" s="2">
        <v>110000</v>
      </c>
      <c r="E2454" s="2">
        <v>650210</v>
      </c>
      <c r="F2454" s="2">
        <v>610210</v>
      </c>
      <c r="G2454" s="32">
        <f>25168+725</f>
        <v>25893</v>
      </c>
      <c r="H2454" s="32">
        <f>25168+725</f>
        <v>25893</v>
      </c>
    </row>
    <row r="2455" spans="1:8" s="2" customFormat="1">
      <c r="A2455" s="6" t="s">
        <v>649</v>
      </c>
      <c r="B2455" s="2" t="s">
        <v>2441</v>
      </c>
      <c r="C2455" s="2" t="s">
        <v>1613</v>
      </c>
      <c r="D2455" s="2">
        <v>110000</v>
      </c>
      <c r="E2455" s="2">
        <v>650210</v>
      </c>
      <c r="F2455" s="2">
        <v>610410</v>
      </c>
      <c r="G2455" s="32">
        <f>20996+588</f>
        <v>21584</v>
      </c>
      <c r="H2455" s="32">
        <f>20996+588</f>
        <v>21584</v>
      </c>
    </row>
    <row r="2456" spans="1:8" s="2" customFormat="1">
      <c r="A2456" s="6"/>
      <c r="C2456" s="2" t="s">
        <v>1611</v>
      </c>
      <c r="D2456" s="2">
        <v>110000</v>
      </c>
      <c r="E2456" s="2">
        <v>650210</v>
      </c>
      <c r="F2456" s="2">
        <v>620000</v>
      </c>
      <c r="G2456" s="32">
        <v>10000</v>
      </c>
      <c r="H2456" s="32">
        <v>10000</v>
      </c>
    </row>
    <row r="2457" spans="1:8" s="2" customFormat="1">
      <c r="A2457" s="6"/>
      <c r="C2457" s="2" t="s">
        <v>2950</v>
      </c>
      <c r="D2457" s="2">
        <v>110000</v>
      </c>
      <c r="E2457" s="2">
        <v>650210</v>
      </c>
      <c r="F2457" s="2">
        <v>610000</v>
      </c>
      <c r="G2457" s="32"/>
      <c r="H2457" s="32"/>
    </row>
    <row r="2458" spans="1:8" s="2" customFormat="1">
      <c r="A2458" s="5" t="s">
        <v>3040</v>
      </c>
      <c r="B2458" s="2" t="s">
        <v>1796</v>
      </c>
      <c r="G2458" s="32"/>
      <c r="H2458" s="32"/>
    </row>
    <row r="2459" spans="1:8" s="2" customFormat="1">
      <c r="A2459" s="6"/>
      <c r="G2459" s="32"/>
      <c r="H2459" s="32"/>
    </row>
    <row r="2460" spans="1:8" s="2" customFormat="1">
      <c r="A2460" s="5"/>
      <c r="C2460" s="2" t="s">
        <v>2951</v>
      </c>
      <c r="D2460" s="2">
        <v>110000</v>
      </c>
      <c r="E2460" s="2">
        <v>650210</v>
      </c>
      <c r="F2460" s="2">
        <v>630000</v>
      </c>
      <c r="G2460" s="32">
        <f>(SUM(G2434:G2455)-G2439)*0.21+G2456*0.08</f>
        <v>218765.93</v>
      </c>
      <c r="H2460" s="32">
        <f>(SUM(H2434:H2455)-H2439)*0.21+H2456*0.08</f>
        <v>216355.97</v>
      </c>
    </row>
    <row r="2461" spans="1:8" s="2" customFormat="1">
      <c r="A2461" s="5"/>
      <c r="C2461" s="8" t="s">
        <v>1129</v>
      </c>
      <c r="G2461" s="32">
        <f>SUM(G2434:G2460)-G2439</f>
        <v>1266698.93</v>
      </c>
      <c r="H2461" s="32">
        <f>SUM(H2434:H2460)-H2439</f>
        <v>1252812.97</v>
      </c>
    </row>
    <row r="2462" spans="1:8" s="2" customFormat="1">
      <c r="A2462" s="5"/>
      <c r="C2462" s="2" t="s">
        <v>2234</v>
      </c>
      <c r="D2462" s="2">
        <v>110000</v>
      </c>
      <c r="E2462" s="2">
        <v>650210</v>
      </c>
      <c r="F2462" s="2">
        <v>710000</v>
      </c>
      <c r="G2462" s="32">
        <v>31191</v>
      </c>
      <c r="H2462" s="32">
        <v>31191</v>
      </c>
    </row>
    <row r="2463" spans="1:8" s="2" customFormat="1">
      <c r="A2463" s="5"/>
      <c r="C2463" s="8" t="s">
        <v>2235</v>
      </c>
      <c r="G2463" s="32">
        <f>G2461+G2462</f>
        <v>1297889.93</v>
      </c>
      <c r="H2463" s="32">
        <f>H2461+H2462</f>
        <v>1284003.97</v>
      </c>
    </row>
    <row r="2464" spans="1:8" s="2" customFormat="1">
      <c r="A2464" s="5"/>
      <c r="G2464" s="32"/>
      <c r="H2464" s="32"/>
    </row>
    <row r="2465" spans="1:8" s="2" customFormat="1">
      <c r="A2465" s="5" t="s">
        <v>2533</v>
      </c>
      <c r="B2465" s="2" t="s">
        <v>2442</v>
      </c>
      <c r="G2465" s="32"/>
      <c r="H2465" s="32"/>
    </row>
    <row r="2466" spans="1:8" s="2" customFormat="1">
      <c r="A2466" s="5"/>
      <c r="G2466" s="32"/>
      <c r="H2466" s="32"/>
    </row>
    <row r="2467" spans="1:8" s="2" customFormat="1">
      <c r="A2467" s="5"/>
      <c r="C2467" s="2" t="s">
        <v>2903</v>
      </c>
      <c r="D2467" s="2">
        <v>110000</v>
      </c>
      <c r="E2467" s="2">
        <v>650211</v>
      </c>
      <c r="F2467" s="2">
        <v>620000</v>
      </c>
      <c r="G2467" s="32">
        <v>20000</v>
      </c>
      <c r="H2467" s="32">
        <v>20000</v>
      </c>
    </row>
    <row r="2468" spans="1:8" s="2" customFormat="1">
      <c r="A2468" s="5"/>
      <c r="C2468" s="2" t="s">
        <v>2951</v>
      </c>
      <c r="D2468" s="2">
        <v>110000</v>
      </c>
      <c r="E2468" s="2">
        <v>650211</v>
      </c>
      <c r="F2468" s="2">
        <v>630000</v>
      </c>
      <c r="G2468" s="32">
        <v>150</v>
      </c>
      <c r="H2468" s="32">
        <v>150</v>
      </c>
    </row>
    <row r="2469" spans="1:8" s="2" customFormat="1">
      <c r="A2469" s="5"/>
      <c r="C2469" s="8" t="s">
        <v>1129</v>
      </c>
      <c r="G2469" s="32">
        <f>SUM(G2467:G2468)</f>
        <v>20150</v>
      </c>
      <c r="H2469" s="32">
        <f>SUM(H2467:H2468)</f>
        <v>20150</v>
      </c>
    </row>
    <row r="2470" spans="1:8" s="2" customFormat="1">
      <c r="A2470" s="5"/>
      <c r="C2470" s="2" t="s">
        <v>2234</v>
      </c>
      <c r="D2470" s="2">
        <v>110000</v>
      </c>
      <c r="E2470" s="2">
        <v>650211</v>
      </c>
      <c r="F2470" s="2">
        <v>710000</v>
      </c>
      <c r="G2470" s="32">
        <v>38295</v>
      </c>
      <c r="H2470" s="32">
        <v>38295</v>
      </c>
    </row>
    <row r="2471" spans="1:8" s="2" customFormat="1">
      <c r="A2471" s="5"/>
      <c r="C2471" s="8" t="s">
        <v>2235</v>
      </c>
      <c r="G2471" s="32">
        <f>SUM(G2469:G2470)</f>
        <v>58445</v>
      </c>
      <c r="H2471" s="32">
        <f>SUM(H2469:H2470)</f>
        <v>58445</v>
      </c>
    </row>
    <row r="2472" spans="1:8" s="2" customFormat="1">
      <c r="A2472" s="5"/>
      <c r="G2472" s="32"/>
      <c r="H2472" s="32"/>
    </row>
    <row r="2473" spans="1:8" s="2" customFormat="1">
      <c r="A2473" s="5" t="s">
        <v>3039</v>
      </c>
      <c r="B2473" s="2" t="s">
        <v>2488</v>
      </c>
      <c r="E2473" s="20"/>
      <c r="G2473" s="32"/>
      <c r="H2473" s="32"/>
    </row>
    <row r="2474" spans="1:8" s="2" customFormat="1">
      <c r="A2474" s="5"/>
      <c r="E2474" s="20"/>
      <c r="G2474" s="32"/>
      <c r="H2474" s="32"/>
    </row>
    <row r="2475" spans="1:8" s="2" customFormat="1">
      <c r="A2475" s="5" t="s">
        <v>1997</v>
      </c>
      <c r="B2475" s="2" t="s">
        <v>2489</v>
      </c>
      <c r="C2475" s="2" t="s">
        <v>2490</v>
      </c>
      <c r="D2475" s="2">
        <v>110000</v>
      </c>
      <c r="E2475" s="20" t="s">
        <v>3039</v>
      </c>
      <c r="F2475" s="2">
        <v>610110</v>
      </c>
      <c r="G2475" s="32">
        <f>11154+322</f>
        <v>11476</v>
      </c>
      <c r="H2475" s="32">
        <f>11154+322</f>
        <v>11476</v>
      </c>
    </row>
    <row r="2476" spans="1:8" s="2" customFormat="1">
      <c r="A2476" s="5"/>
      <c r="D2476" s="2">
        <v>110000</v>
      </c>
      <c r="E2476" s="20" t="s">
        <v>3040</v>
      </c>
      <c r="F2476" s="2">
        <v>610110</v>
      </c>
      <c r="G2476" s="32">
        <f>63205+1833</f>
        <v>65038</v>
      </c>
      <c r="H2476" s="32">
        <v>0</v>
      </c>
    </row>
    <row r="2477" spans="1:8" s="2" customFormat="1">
      <c r="A2477" s="5"/>
      <c r="E2477" s="5" t="s">
        <v>2880</v>
      </c>
      <c r="G2477" s="32">
        <f>SUM(G2475:G2476)</f>
        <v>76514</v>
      </c>
      <c r="H2477" s="32">
        <f>SUM(H2475:H2476)</f>
        <v>11476</v>
      </c>
    </row>
    <row r="2478" spans="1:8" s="2" customFormat="1">
      <c r="A2478" s="5" t="s">
        <v>1998</v>
      </c>
      <c r="B2478" s="2" t="s">
        <v>2491</v>
      </c>
      <c r="C2478" s="2" t="s">
        <v>766</v>
      </c>
      <c r="D2478" s="2">
        <v>110000</v>
      </c>
      <c r="E2478" s="20" t="s">
        <v>3039</v>
      </c>
      <c r="F2478" s="2">
        <v>610410</v>
      </c>
      <c r="G2478" s="32">
        <f>19797+554</f>
        <v>20351</v>
      </c>
      <c r="H2478" s="32">
        <f>19797+554</f>
        <v>20351</v>
      </c>
    </row>
    <row r="2479" spans="1:8" s="2" customFormat="1">
      <c r="A2479" s="5"/>
      <c r="C2479" s="2" t="s">
        <v>1611</v>
      </c>
      <c r="D2479" s="2">
        <v>110000</v>
      </c>
      <c r="E2479" s="20" t="s">
        <v>3039</v>
      </c>
      <c r="F2479" s="2">
        <v>620000</v>
      </c>
      <c r="G2479" s="32">
        <v>700</v>
      </c>
      <c r="H2479" s="32">
        <v>700</v>
      </c>
    </row>
    <row r="2480" spans="1:8" s="2" customFormat="1">
      <c r="A2480" s="5"/>
      <c r="C2480" s="2" t="s">
        <v>2950</v>
      </c>
      <c r="D2480" s="2">
        <v>110000</v>
      </c>
      <c r="E2480" s="20" t="s">
        <v>3039</v>
      </c>
      <c r="F2480" s="2">
        <v>610000</v>
      </c>
      <c r="G2480" s="32"/>
      <c r="H2480" s="32"/>
    </row>
    <row r="2481" spans="1:8" s="2" customFormat="1">
      <c r="A2481" s="5"/>
      <c r="C2481" s="2" t="s">
        <v>2951</v>
      </c>
      <c r="D2481" s="2">
        <v>110000</v>
      </c>
      <c r="E2481" s="20" t="s">
        <v>3039</v>
      </c>
      <c r="F2481" s="2">
        <v>630000</v>
      </c>
      <c r="G2481" s="32">
        <f>(SUM(G2475:G2480)-G2477)*0.16</f>
        <v>15610.4</v>
      </c>
      <c r="H2481" s="32">
        <f>(SUM(H2475:H2480)-H2477)*0.16</f>
        <v>5204.32</v>
      </c>
    </row>
    <row r="2482" spans="1:8" s="2" customFormat="1">
      <c r="A2482" s="5"/>
      <c r="C2482" s="8" t="s">
        <v>1129</v>
      </c>
      <c r="E2482" s="20"/>
      <c r="G2482" s="32">
        <f>SUM(G2475:G2481)-G2477</f>
        <v>113175.4</v>
      </c>
      <c r="H2482" s="32">
        <f>SUM(H2475:H2481)-H2477</f>
        <v>37731.32</v>
      </c>
    </row>
    <row r="2483" spans="1:8" s="2" customFormat="1">
      <c r="A2483" s="5"/>
      <c r="C2483" s="2" t="s">
        <v>2234</v>
      </c>
      <c r="D2483" s="2">
        <v>110000</v>
      </c>
      <c r="E2483" s="20" t="s">
        <v>3039</v>
      </c>
      <c r="F2483" s="2">
        <v>710000</v>
      </c>
      <c r="G2483" s="32">
        <v>6434</v>
      </c>
      <c r="H2483" s="32">
        <v>6434</v>
      </c>
    </row>
    <row r="2484" spans="1:8" s="2" customFormat="1">
      <c r="A2484" s="5"/>
      <c r="C2484" s="8" t="s">
        <v>2235</v>
      </c>
      <c r="E2484" s="20"/>
      <c r="G2484" s="32">
        <f>G2482+G2483</f>
        <v>119609.4</v>
      </c>
      <c r="H2484" s="32">
        <f>H2482+H2483</f>
        <v>44165.32</v>
      </c>
    </row>
    <row r="2485" spans="1:8" s="2" customFormat="1">
      <c r="A2485" s="5"/>
      <c r="E2485" s="20"/>
      <c r="G2485" s="32"/>
      <c r="H2485" s="32"/>
    </row>
    <row r="2486" spans="1:8" s="2" customFormat="1">
      <c r="A2486" s="5" t="s">
        <v>2534</v>
      </c>
      <c r="B2486" s="2" t="s">
        <v>2443</v>
      </c>
      <c r="G2486" s="32"/>
      <c r="H2486" s="32"/>
    </row>
    <row r="2487" spans="1:8" s="2" customFormat="1">
      <c r="A2487" s="5"/>
      <c r="G2487" s="32"/>
      <c r="H2487" s="32"/>
    </row>
    <row r="2488" spans="1:8" s="2" customFormat="1">
      <c r="A2488" s="6" t="s">
        <v>650</v>
      </c>
      <c r="B2488" s="2" t="s">
        <v>2444</v>
      </c>
      <c r="C2488" s="2" t="s">
        <v>1029</v>
      </c>
      <c r="D2488" s="2">
        <v>110000</v>
      </c>
      <c r="E2488" s="2">
        <v>650310</v>
      </c>
      <c r="F2488" s="2">
        <v>610110</v>
      </c>
      <c r="G2488" s="32">
        <f>75901+2049</f>
        <v>77950</v>
      </c>
      <c r="H2488" s="32">
        <f>75901+2049</f>
        <v>77950</v>
      </c>
    </row>
    <row r="2489" spans="1:8" s="2" customFormat="1">
      <c r="A2489" s="6" t="s">
        <v>651</v>
      </c>
      <c r="B2489" s="2" t="s">
        <v>2445</v>
      </c>
      <c r="C2489" s="2" t="s">
        <v>2490</v>
      </c>
      <c r="D2489" s="2">
        <v>110000</v>
      </c>
      <c r="E2489" s="2">
        <v>650310</v>
      </c>
      <c r="F2489" s="2">
        <v>610110</v>
      </c>
      <c r="G2489" s="32">
        <f>63037+1768</f>
        <v>64805</v>
      </c>
      <c r="H2489" s="32">
        <f>63037+1768</f>
        <v>64805</v>
      </c>
    </row>
    <row r="2490" spans="1:8" s="2" customFormat="1">
      <c r="A2490" s="6" t="s">
        <v>652</v>
      </c>
      <c r="B2490" s="2" t="s">
        <v>2446</v>
      </c>
      <c r="C2490" s="2" t="s">
        <v>2490</v>
      </c>
      <c r="D2490" s="2">
        <v>110000</v>
      </c>
      <c r="E2490" s="2">
        <v>650310</v>
      </c>
      <c r="F2490" s="2">
        <v>610110</v>
      </c>
      <c r="G2490" s="32">
        <f>56472+1578</f>
        <v>58050</v>
      </c>
      <c r="H2490" s="32">
        <f>56472+1578</f>
        <v>58050</v>
      </c>
    </row>
    <row r="2491" spans="1:8" s="2" customFormat="1">
      <c r="A2491" s="6" t="s">
        <v>653</v>
      </c>
      <c r="B2491" s="2" t="s">
        <v>2447</v>
      </c>
      <c r="C2491" s="2" t="s">
        <v>2490</v>
      </c>
      <c r="D2491" s="2">
        <v>110000</v>
      </c>
      <c r="E2491" s="2">
        <v>650310</v>
      </c>
      <c r="F2491" s="2">
        <v>610110</v>
      </c>
      <c r="G2491" s="32">
        <f>52796+1453</f>
        <v>54249</v>
      </c>
      <c r="H2491" s="32">
        <f>52796+1453</f>
        <v>54249</v>
      </c>
    </row>
    <row r="2492" spans="1:8" s="2" customFormat="1">
      <c r="A2492" s="6" t="s">
        <v>654</v>
      </c>
      <c r="B2492" s="2" t="s">
        <v>2448</v>
      </c>
      <c r="C2492" s="2" t="s">
        <v>2490</v>
      </c>
      <c r="D2492" s="2">
        <v>110000</v>
      </c>
      <c r="E2492" s="2">
        <v>650310</v>
      </c>
      <c r="F2492" s="2">
        <v>610110</v>
      </c>
      <c r="G2492" s="32">
        <f>56687+1640</f>
        <v>58327</v>
      </c>
      <c r="H2492" s="32">
        <f>56687+1640</f>
        <v>58327</v>
      </c>
    </row>
    <row r="2493" spans="1:8" s="2" customFormat="1">
      <c r="A2493" s="6" t="s">
        <v>655</v>
      </c>
      <c r="B2493" s="2" t="s">
        <v>2449</v>
      </c>
      <c r="C2493" s="2" t="s">
        <v>2490</v>
      </c>
      <c r="D2493" s="2">
        <v>110000</v>
      </c>
      <c r="E2493" s="2">
        <v>650310</v>
      </c>
      <c r="F2493" s="2">
        <v>610110</v>
      </c>
      <c r="G2493" s="32">
        <f>50236+1445</f>
        <v>51681</v>
      </c>
      <c r="H2493" s="32">
        <f>50236+1445</f>
        <v>51681</v>
      </c>
    </row>
    <row r="2494" spans="1:8" s="2" customFormat="1">
      <c r="A2494" s="6" t="s">
        <v>656</v>
      </c>
      <c r="B2494" s="2" t="s">
        <v>2450</v>
      </c>
      <c r="C2494" s="2" t="s">
        <v>544</v>
      </c>
      <c r="D2494" s="2">
        <v>110000</v>
      </c>
      <c r="E2494" s="2">
        <v>650310</v>
      </c>
      <c r="F2494" s="2">
        <v>610110</v>
      </c>
      <c r="G2494" s="32">
        <f>49430+1382</f>
        <v>50812</v>
      </c>
      <c r="H2494" s="32">
        <f>49430+1382</f>
        <v>50812</v>
      </c>
    </row>
    <row r="2495" spans="1:8" s="2" customFormat="1">
      <c r="A2495" s="6" t="s">
        <v>657</v>
      </c>
      <c r="B2495" s="2" t="s">
        <v>2097</v>
      </c>
      <c r="C2495" s="2" t="s">
        <v>544</v>
      </c>
      <c r="D2495" s="2">
        <v>110000</v>
      </c>
      <c r="E2495" s="2">
        <v>650310</v>
      </c>
      <c r="F2495" s="2">
        <v>610110</v>
      </c>
      <c r="G2495" s="32">
        <f>41398+1154</f>
        <v>42552</v>
      </c>
      <c r="H2495" s="32">
        <f>41398+1154</f>
        <v>42552</v>
      </c>
    </row>
    <row r="2496" spans="1:8" s="2" customFormat="1">
      <c r="A2496" s="6"/>
      <c r="B2496" s="2" t="s">
        <v>1975</v>
      </c>
      <c r="C2496" s="2" t="s">
        <v>148</v>
      </c>
      <c r="D2496" s="2">
        <v>110000</v>
      </c>
      <c r="E2496" s="2">
        <v>650310</v>
      </c>
      <c r="F2496" s="2">
        <v>610110</v>
      </c>
      <c r="G2496" s="32">
        <v>41000</v>
      </c>
      <c r="H2496" s="32">
        <v>41000</v>
      </c>
    </row>
    <row r="2497" spans="1:8" s="2" customFormat="1">
      <c r="A2497" s="6"/>
      <c r="B2497" s="2" t="s">
        <v>1976</v>
      </c>
      <c r="C2497" s="2" t="s">
        <v>148</v>
      </c>
      <c r="D2497" s="2">
        <v>110000</v>
      </c>
      <c r="E2497" s="2">
        <v>650310</v>
      </c>
      <c r="F2497" s="2">
        <v>610110</v>
      </c>
      <c r="G2497" s="32">
        <v>40000</v>
      </c>
      <c r="H2497" s="32">
        <v>40000</v>
      </c>
    </row>
    <row r="2498" spans="1:8" s="2" customFormat="1">
      <c r="A2498" s="6" t="s">
        <v>658</v>
      </c>
      <c r="B2498" s="2" t="s">
        <v>2656</v>
      </c>
      <c r="C2498" s="2" t="s">
        <v>2106</v>
      </c>
      <c r="D2498" s="2">
        <v>110000</v>
      </c>
      <c r="E2498" s="2">
        <v>650310</v>
      </c>
      <c r="F2498" s="2">
        <v>610110</v>
      </c>
      <c r="G2498" s="32">
        <f>35842+1013</f>
        <v>36855</v>
      </c>
      <c r="H2498" s="32">
        <f>35842+1013</f>
        <v>36855</v>
      </c>
    </row>
    <row r="2499" spans="1:8" s="2" customFormat="1">
      <c r="A2499" s="6" t="s">
        <v>659</v>
      </c>
      <c r="B2499" s="2" t="s">
        <v>2657</v>
      </c>
      <c r="C2499" s="2" t="s">
        <v>2106</v>
      </c>
      <c r="D2499" s="2">
        <v>110000</v>
      </c>
      <c r="E2499" s="2">
        <v>650310</v>
      </c>
      <c r="F2499" s="2">
        <v>610110</v>
      </c>
      <c r="G2499" s="32">
        <f>33269+900</f>
        <v>34169</v>
      </c>
      <c r="H2499" s="32">
        <f>33269+900</f>
        <v>34169</v>
      </c>
    </row>
    <row r="2500" spans="1:8" s="2" customFormat="1">
      <c r="A2500" s="6" t="s">
        <v>660</v>
      </c>
      <c r="B2500" s="2" t="s">
        <v>2658</v>
      </c>
      <c r="C2500" s="2" t="s">
        <v>1795</v>
      </c>
      <c r="D2500" s="2">
        <v>110000</v>
      </c>
      <c r="E2500" s="2">
        <v>650310</v>
      </c>
      <c r="F2500" s="2">
        <v>610110</v>
      </c>
      <c r="G2500" s="32">
        <f>27883+744</f>
        <v>28627</v>
      </c>
      <c r="H2500" s="32">
        <f>27883+744</f>
        <v>28627</v>
      </c>
    </row>
    <row r="2501" spans="1:8" s="2" customFormat="1">
      <c r="A2501" s="6" t="s">
        <v>661</v>
      </c>
      <c r="B2501" s="2" t="s">
        <v>2659</v>
      </c>
      <c r="C2501" s="2" t="s">
        <v>1023</v>
      </c>
      <c r="D2501" s="2">
        <v>110000</v>
      </c>
      <c r="E2501" s="2">
        <v>650310</v>
      </c>
      <c r="F2501" s="2">
        <v>610410</v>
      </c>
      <c r="G2501" s="32">
        <f>23938+670</f>
        <v>24608</v>
      </c>
      <c r="H2501" s="32">
        <f>23938+670</f>
        <v>24608</v>
      </c>
    </row>
    <row r="2502" spans="1:8" s="2" customFormat="1">
      <c r="A2502" s="6"/>
      <c r="C2502" s="2" t="s">
        <v>1611</v>
      </c>
      <c r="D2502" s="2">
        <v>110000</v>
      </c>
      <c r="E2502" s="2">
        <v>650310</v>
      </c>
      <c r="F2502" s="2">
        <v>620000</v>
      </c>
      <c r="G2502" s="32">
        <v>22576</v>
      </c>
      <c r="H2502" s="32">
        <v>22576</v>
      </c>
    </row>
    <row r="2503" spans="1:8" s="2" customFormat="1">
      <c r="A2503" s="6"/>
      <c r="C2503" s="2" t="s">
        <v>2950</v>
      </c>
      <c r="D2503" s="2">
        <v>110000</v>
      </c>
      <c r="E2503" s="2">
        <v>650310</v>
      </c>
      <c r="F2503" s="2">
        <v>610000</v>
      </c>
      <c r="G2503" s="32"/>
      <c r="H2503" s="32"/>
    </row>
    <row r="2504" spans="1:8" s="2" customFormat="1">
      <c r="A2504" s="6"/>
      <c r="C2504" s="2" t="s">
        <v>2951</v>
      </c>
      <c r="D2504" s="2">
        <v>110000</v>
      </c>
      <c r="E2504" s="2">
        <v>650310</v>
      </c>
      <c r="F2504" s="2">
        <v>630000</v>
      </c>
      <c r="G2504" s="32">
        <f>SUM(G2488:G2501)*0.2+G2502*0.08</f>
        <v>134543.07999999999</v>
      </c>
      <c r="H2504" s="32">
        <f>SUM(H2488:H2501)*0.2+H2502*0.08</f>
        <v>134543.07999999999</v>
      </c>
    </row>
    <row r="2505" spans="1:8" s="2" customFormat="1">
      <c r="A2505" s="6"/>
      <c r="C2505" s="8" t="s">
        <v>1129</v>
      </c>
      <c r="G2505" s="32">
        <f>SUM(G2488:G2504)</f>
        <v>820804.08</v>
      </c>
      <c r="H2505" s="32">
        <f>SUM(H2488:H2504)</f>
        <v>820804.08</v>
      </c>
    </row>
    <row r="2506" spans="1:8" s="2" customFormat="1">
      <c r="A2506" s="6"/>
      <c r="C2506" s="2" t="s">
        <v>2234</v>
      </c>
      <c r="D2506" s="2">
        <v>110000</v>
      </c>
      <c r="E2506" s="2">
        <v>650310</v>
      </c>
      <c r="F2506" s="2">
        <v>710000</v>
      </c>
      <c r="G2506" s="32">
        <f>17050+2000</f>
        <v>19050</v>
      </c>
      <c r="H2506" s="32">
        <f>17050+2000</f>
        <v>19050</v>
      </c>
    </row>
    <row r="2507" spans="1:8" s="2" customFormat="1">
      <c r="A2507" s="6"/>
      <c r="C2507" s="8" t="s">
        <v>2235</v>
      </c>
      <c r="G2507" s="32">
        <f>G2505+G2506</f>
        <v>839854.07999999996</v>
      </c>
      <c r="H2507" s="32">
        <f>H2505+H2506</f>
        <v>839854.07999999996</v>
      </c>
    </row>
    <row r="2508" spans="1:8" s="2" customFormat="1">
      <c r="A2508" s="6"/>
      <c r="G2508" s="32"/>
      <c r="H2508" s="32"/>
    </row>
    <row r="2509" spans="1:8" s="2" customFormat="1">
      <c r="A2509" s="5" t="s">
        <v>2535</v>
      </c>
      <c r="B2509" s="2" t="s">
        <v>2660</v>
      </c>
      <c r="G2509" s="32"/>
      <c r="H2509" s="32"/>
    </row>
    <row r="2510" spans="1:8" s="2" customFormat="1">
      <c r="A2510" s="5"/>
      <c r="G2510" s="32"/>
      <c r="H2510" s="32"/>
    </row>
    <row r="2511" spans="1:8" s="2" customFormat="1">
      <c r="A2511" s="5"/>
      <c r="C2511" s="2" t="s">
        <v>2234</v>
      </c>
      <c r="D2511" s="2">
        <v>110000</v>
      </c>
      <c r="E2511" s="2">
        <v>650311</v>
      </c>
      <c r="F2511" s="2">
        <v>710000</v>
      </c>
      <c r="G2511" s="32">
        <v>22675</v>
      </c>
      <c r="H2511" s="32">
        <v>22675</v>
      </c>
    </row>
    <row r="2512" spans="1:8" s="2" customFormat="1">
      <c r="A2512" s="5"/>
      <c r="C2512" s="8" t="s">
        <v>2235</v>
      </c>
      <c r="G2512" s="32">
        <f>G2511</f>
        <v>22675</v>
      </c>
      <c r="H2512" s="32">
        <f>H2511</f>
        <v>22675</v>
      </c>
    </row>
    <row r="2513" spans="1:8" s="2" customFormat="1">
      <c r="A2513" s="6"/>
      <c r="G2513" s="32"/>
      <c r="H2513" s="32"/>
    </row>
    <row r="2514" spans="1:8" s="2" customFormat="1">
      <c r="A2514" s="5" t="s">
        <v>2536</v>
      </c>
      <c r="B2514" s="2" t="s">
        <v>2661</v>
      </c>
      <c r="G2514" s="32"/>
      <c r="H2514" s="32"/>
    </row>
    <row r="2515" spans="1:8" s="2" customFormat="1">
      <c r="A2515" s="5"/>
      <c r="G2515" s="32"/>
      <c r="H2515" s="32"/>
    </row>
    <row r="2516" spans="1:8" s="2" customFormat="1">
      <c r="A2516" s="6" t="s">
        <v>662</v>
      </c>
      <c r="B2516" s="2" t="s">
        <v>2662</v>
      </c>
      <c r="C2516" s="2" t="s">
        <v>1029</v>
      </c>
      <c r="D2516" s="2">
        <v>110000</v>
      </c>
      <c r="E2516" s="2">
        <v>650410</v>
      </c>
      <c r="F2516" s="2">
        <v>610110</v>
      </c>
      <c r="G2516" s="32">
        <f>59123+5304</f>
        <v>64427</v>
      </c>
      <c r="H2516" s="32">
        <f>59123+5304</f>
        <v>64427</v>
      </c>
    </row>
    <row r="2517" spans="1:8" s="2" customFormat="1">
      <c r="A2517" s="6" t="s">
        <v>663</v>
      </c>
      <c r="B2517" s="2" t="s">
        <v>2663</v>
      </c>
      <c r="C2517" s="2" t="s">
        <v>2490</v>
      </c>
      <c r="D2517" s="2">
        <v>110000</v>
      </c>
      <c r="E2517" s="2">
        <v>650410</v>
      </c>
      <c r="F2517" s="2">
        <v>610110</v>
      </c>
      <c r="G2517" s="32">
        <f>65940+1796</f>
        <v>67736</v>
      </c>
      <c r="H2517" s="32">
        <f>65940+1796</f>
        <v>67736</v>
      </c>
    </row>
    <row r="2518" spans="1:8" s="2" customFormat="1">
      <c r="A2518" s="6" t="s">
        <v>664</v>
      </c>
      <c r="B2518" s="2" t="s">
        <v>2664</v>
      </c>
      <c r="C2518" s="2" t="s">
        <v>148</v>
      </c>
      <c r="D2518" s="2">
        <v>110000</v>
      </c>
      <c r="E2518" s="2">
        <v>650410</v>
      </c>
      <c r="F2518" s="2">
        <v>610110</v>
      </c>
      <c r="G2518" s="32">
        <f>38215+5768</f>
        <v>43983</v>
      </c>
      <c r="H2518" s="32">
        <f>38215+5768</f>
        <v>43983</v>
      </c>
    </row>
    <row r="2519" spans="1:8" s="2" customFormat="1">
      <c r="A2519" s="6" t="s">
        <v>665</v>
      </c>
      <c r="B2519" s="2" t="s">
        <v>1540</v>
      </c>
      <c r="C2519" s="2" t="s">
        <v>2106</v>
      </c>
      <c r="D2519" s="2">
        <v>110000</v>
      </c>
      <c r="E2519" s="2">
        <v>650410</v>
      </c>
      <c r="F2519" s="2">
        <v>610110</v>
      </c>
      <c r="G2519" s="32">
        <f>27683+830</f>
        <v>28513</v>
      </c>
      <c r="H2519" s="32">
        <f>27683+830</f>
        <v>28513</v>
      </c>
    </row>
    <row r="2520" spans="1:8" s="2" customFormat="1">
      <c r="A2520" s="6" t="s">
        <v>666</v>
      </c>
      <c r="B2520" s="2" t="s">
        <v>2789</v>
      </c>
      <c r="C2520" s="2" t="s">
        <v>2106</v>
      </c>
      <c r="D2520" s="2">
        <v>110000</v>
      </c>
      <c r="E2520" s="2">
        <v>650410</v>
      </c>
      <c r="F2520" s="2">
        <v>610110</v>
      </c>
      <c r="G2520" s="32">
        <f>32761+835</f>
        <v>33596</v>
      </c>
      <c r="H2520" s="32">
        <f>32761+835</f>
        <v>33596</v>
      </c>
    </row>
    <row r="2521" spans="1:8" s="2" customFormat="1">
      <c r="A2521" s="6" t="s">
        <v>667</v>
      </c>
      <c r="B2521" s="2" t="s">
        <v>2112</v>
      </c>
      <c r="C2521" s="2" t="s">
        <v>1023</v>
      </c>
      <c r="D2521" s="2">
        <v>110000</v>
      </c>
      <c r="E2521" s="2">
        <v>650410</v>
      </c>
      <c r="F2521" s="2">
        <v>610410</v>
      </c>
      <c r="G2521" s="32">
        <f>19199+538</f>
        <v>19737</v>
      </c>
      <c r="H2521" s="32">
        <f>19199+538</f>
        <v>19737</v>
      </c>
    </row>
    <row r="2522" spans="1:8" s="2" customFormat="1">
      <c r="A2522" s="6"/>
      <c r="C2522" s="2" t="s">
        <v>1611</v>
      </c>
      <c r="D2522" s="2">
        <v>110000</v>
      </c>
      <c r="E2522" s="2">
        <v>650410</v>
      </c>
      <c r="F2522" s="2">
        <v>620000</v>
      </c>
      <c r="G2522" s="32">
        <v>3000</v>
      </c>
      <c r="H2522" s="32">
        <v>3000</v>
      </c>
    </row>
    <row r="2523" spans="1:8" s="2" customFormat="1">
      <c r="A2523" s="6"/>
      <c r="C2523" s="2" t="s">
        <v>2950</v>
      </c>
      <c r="D2523" s="2">
        <v>110000</v>
      </c>
      <c r="E2523" s="2">
        <v>650410</v>
      </c>
      <c r="F2523" s="2">
        <v>610000</v>
      </c>
      <c r="G2523" s="32"/>
      <c r="H2523" s="32"/>
    </row>
    <row r="2524" spans="1:8" s="2" customFormat="1">
      <c r="A2524" s="6"/>
      <c r="C2524" s="2" t="s">
        <v>2951</v>
      </c>
      <c r="D2524" s="2">
        <v>110000</v>
      </c>
      <c r="E2524" s="2">
        <v>650410</v>
      </c>
      <c r="F2524" s="2">
        <v>630000</v>
      </c>
      <c r="G2524" s="32">
        <f>SUM(G2516:G2523)*0.21</f>
        <v>54808.32</v>
      </c>
      <c r="H2524" s="32">
        <f>SUM(H2516:H2523)*0.21</f>
        <v>54808.32</v>
      </c>
    </row>
    <row r="2525" spans="1:8" s="2" customFormat="1">
      <c r="A2525" s="6"/>
      <c r="C2525" s="8" t="s">
        <v>1129</v>
      </c>
      <c r="G2525" s="32">
        <f>SUM(G2516:G2524)</f>
        <v>315800.32000000001</v>
      </c>
      <c r="H2525" s="32">
        <f>SUM(H2516:H2524)</f>
        <v>315800.32000000001</v>
      </c>
    </row>
    <row r="2526" spans="1:8" s="2" customFormat="1">
      <c r="A2526" s="6"/>
      <c r="C2526" s="2" t="s">
        <v>2234</v>
      </c>
      <c r="D2526" s="2">
        <v>110000</v>
      </c>
      <c r="E2526" s="2">
        <v>650410</v>
      </c>
      <c r="F2526" s="2">
        <v>710000</v>
      </c>
      <c r="G2526" s="32">
        <v>7506</v>
      </c>
      <c r="H2526" s="32">
        <v>7506</v>
      </c>
    </row>
    <row r="2527" spans="1:8" s="2" customFormat="1">
      <c r="A2527" s="6"/>
      <c r="C2527" s="8" t="s">
        <v>2235</v>
      </c>
      <c r="G2527" s="32">
        <f>G2525+G2526</f>
        <v>323306.32</v>
      </c>
      <c r="H2527" s="32">
        <f>H2525+H2526</f>
        <v>323306.32</v>
      </c>
    </row>
    <row r="2528" spans="1:8" s="2" customFormat="1">
      <c r="A2528" s="6"/>
      <c r="C2528" s="8"/>
      <c r="G2528" s="32"/>
      <c r="H2528" s="32"/>
    </row>
    <row r="2529" spans="1:8" s="2" customFormat="1">
      <c r="A2529" s="5" t="s">
        <v>2537</v>
      </c>
      <c r="B2529" s="2" t="s">
        <v>2113</v>
      </c>
      <c r="G2529" s="32"/>
      <c r="H2529" s="32"/>
    </row>
    <row r="2530" spans="1:8" s="2" customFormat="1">
      <c r="A2530" s="5"/>
      <c r="G2530" s="32"/>
      <c r="H2530" s="32"/>
    </row>
    <row r="2531" spans="1:8" s="2" customFormat="1">
      <c r="A2531" s="5"/>
      <c r="C2531" s="2" t="s">
        <v>2903</v>
      </c>
      <c r="D2531" s="2">
        <v>110000</v>
      </c>
      <c r="E2531" s="2">
        <v>650411</v>
      </c>
      <c r="F2531" s="2">
        <v>620000</v>
      </c>
      <c r="G2531" s="32">
        <v>4000</v>
      </c>
      <c r="H2531" s="32">
        <v>4000</v>
      </c>
    </row>
    <row r="2532" spans="1:8" s="2" customFormat="1">
      <c r="A2532" s="5"/>
      <c r="C2532" s="2" t="s">
        <v>2234</v>
      </c>
      <c r="D2532" s="2">
        <v>110000</v>
      </c>
      <c r="E2532" s="2">
        <v>650411</v>
      </c>
      <c r="F2532" s="2">
        <v>710000</v>
      </c>
      <c r="G2532" s="32">
        <v>9632</v>
      </c>
      <c r="H2532" s="32">
        <v>9632</v>
      </c>
    </row>
    <row r="2533" spans="1:8" s="2" customFormat="1">
      <c r="A2533" s="5"/>
      <c r="C2533" s="8" t="s">
        <v>2235</v>
      </c>
      <c r="G2533" s="32">
        <f>SUM(G2531:G2532)</f>
        <v>13632</v>
      </c>
      <c r="H2533" s="32">
        <f>SUM(H2531:H2532)</f>
        <v>13632</v>
      </c>
    </row>
    <row r="2534" spans="1:8" s="2" customFormat="1">
      <c r="A2534" s="6"/>
      <c r="G2534" s="32"/>
      <c r="H2534" s="32"/>
    </row>
    <row r="2535" spans="1:8" s="2" customFormat="1">
      <c r="A2535" s="5" t="s">
        <v>2539</v>
      </c>
      <c r="B2535" s="2" t="s">
        <v>3225</v>
      </c>
      <c r="G2535" s="32"/>
      <c r="H2535" s="32"/>
    </row>
    <row r="2536" spans="1:8" s="2" customFormat="1">
      <c r="A2536" s="5"/>
      <c r="G2536" s="32"/>
      <c r="H2536" s="32"/>
    </row>
    <row r="2537" spans="1:8" s="2" customFormat="1">
      <c r="A2537" s="6"/>
      <c r="B2537" s="2" t="s">
        <v>1978</v>
      </c>
      <c r="C2537" s="2" t="s">
        <v>1029</v>
      </c>
      <c r="D2537" s="2">
        <v>110000</v>
      </c>
      <c r="E2537" s="2">
        <v>650510</v>
      </c>
      <c r="F2537" s="2">
        <v>610110</v>
      </c>
      <c r="G2537" s="32">
        <v>85000</v>
      </c>
      <c r="H2537" s="32">
        <v>85000</v>
      </c>
    </row>
    <row r="2538" spans="1:8" s="2" customFormat="1">
      <c r="A2538" s="6" t="s">
        <v>684</v>
      </c>
      <c r="B2538" s="2" t="s">
        <v>3226</v>
      </c>
      <c r="C2538" s="2" t="s">
        <v>2490</v>
      </c>
      <c r="D2538" s="2">
        <v>110000</v>
      </c>
      <c r="E2538" s="2">
        <v>650510</v>
      </c>
      <c r="F2538" s="2">
        <v>610110</v>
      </c>
      <c r="G2538" s="32">
        <f>66480+2200</f>
        <v>68680</v>
      </c>
      <c r="H2538" s="32">
        <f>66480+2200</f>
        <v>68680</v>
      </c>
    </row>
    <row r="2539" spans="1:8" s="2" customFormat="1">
      <c r="A2539" s="6" t="s">
        <v>685</v>
      </c>
      <c r="B2539" s="2" t="s">
        <v>3227</v>
      </c>
      <c r="C2539" s="2" t="s">
        <v>544</v>
      </c>
      <c r="D2539" s="2">
        <v>110000</v>
      </c>
      <c r="E2539" s="2">
        <v>650510</v>
      </c>
      <c r="F2539" s="2">
        <v>610110</v>
      </c>
      <c r="G2539" s="32">
        <f>45386+800</f>
        <v>46186</v>
      </c>
      <c r="H2539" s="32">
        <f>45386+800</f>
        <v>46186</v>
      </c>
    </row>
    <row r="2540" spans="1:8" s="2" customFormat="1">
      <c r="A2540" s="6" t="s">
        <v>686</v>
      </c>
      <c r="B2540" s="2" t="s">
        <v>3228</v>
      </c>
      <c r="C2540" s="2" t="s">
        <v>544</v>
      </c>
      <c r="D2540" s="2">
        <v>110000</v>
      </c>
      <c r="E2540" s="2">
        <v>650510</v>
      </c>
      <c r="F2540" s="2">
        <v>610110</v>
      </c>
      <c r="G2540" s="32">
        <f>51092+2000</f>
        <v>53092</v>
      </c>
      <c r="H2540" s="32">
        <f>51092+2000</f>
        <v>53092</v>
      </c>
    </row>
    <row r="2541" spans="1:8" s="2" customFormat="1">
      <c r="A2541" s="6" t="s">
        <v>687</v>
      </c>
      <c r="B2541" s="2" t="s">
        <v>3229</v>
      </c>
      <c r="C2541" s="2" t="s">
        <v>544</v>
      </c>
      <c r="D2541" s="2">
        <v>110000</v>
      </c>
      <c r="E2541" s="2">
        <v>650510</v>
      </c>
      <c r="F2541" s="2">
        <v>610110</v>
      </c>
      <c r="G2541" s="32">
        <f>60363+1300</f>
        <v>61663</v>
      </c>
      <c r="H2541" s="32">
        <f>60363+1300</f>
        <v>61663</v>
      </c>
    </row>
    <row r="2542" spans="1:8" s="2" customFormat="1">
      <c r="A2542" s="6" t="s">
        <v>688</v>
      </c>
      <c r="B2542" s="2" t="s">
        <v>104</v>
      </c>
      <c r="C2542" s="2" t="s">
        <v>544</v>
      </c>
      <c r="D2542" s="2">
        <v>110000</v>
      </c>
      <c r="E2542" s="2">
        <v>650510</v>
      </c>
      <c r="F2542" s="2">
        <v>610110</v>
      </c>
      <c r="G2542" s="32">
        <f>50848+800</f>
        <v>51648</v>
      </c>
      <c r="H2542" s="32">
        <f>50848+800</f>
        <v>51648</v>
      </c>
    </row>
    <row r="2543" spans="1:8" s="2" customFormat="1">
      <c r="A2543" s="6" t="s">
        <v>689</v>
      </c>
      <c r="B2543" s="2" t="s">
        <v>106</v>
      </c>
      <c r="C2543" s="2" t="s">
        <v>2490</v>
      </c>
      <c r="D2543" s="2">
        <v>110000</v>
      </c>
      <c r="E2543" s="2">
        <v>650510</v>
      </c>
      <c r="F2543" s="2">
        <v>610110</v>
      </c>
      <c r="G2543" s="32">
        <f>43019+1500+2000</f>
        <v>46519</v>
      </c>
      <c r="H2543" s="32">
        <f>43019+1500+2000</f>
        <v>46519</v>
      </c>
    </row>
    <row r="2544" spans="1:8" s="2" customFormat="1">
      <c r="A2544" s="6" t="s">
        <v>690</v>
      </c>
      <c r="B2544" s="2" t="s">
        <v>107</v>
      </c>
      <c r="C2544" s="2" t="s">
        <v>148</v>
      </c>
      <c r="D2544" s="2">
        <v>110000</v>
      </c>
      <c r="E2544" s="2">
        <v>650510</v>
      </c>
      <c r="F2544" s="2">
        <v>610110</v>
      </c>
      <c r="G2544" s="32">
        <f>39805+4296</f>
        <v>44101</v>
      </c>
      <c r="H2544" s="32">
        <f>39805+4296</f>
        <v>44101</v>
      </c>
    </row>
    <row r="2545" spans="1:8" s="2" customFormat="1">
      <c r="A2545" s="6" t="s">
        <v>691</v>
      </c>
      <c r="B2545" s="2" t="s">
        <v>108</v>
      </c>
      <c r="C2545" s="2" t="s">
        <v>148</v>
      </c>
      <c r="D2545" s="2">
        <v>110000</v>
      </c>
      <c r="E2545" s="2">
        <v>650510</v>
      </c>
      <c r="F2545" s="2">
        <v>610110</v>
      </c>
      <c r="G2545" s="32">
        <f>42002+759</f>
        <v>42761</v>
      </c>
      <c r="H2545" s="32">
        <f>42002+759</f>
        <v>42761</v>
      </c>
    </row>
    <row r="2546" spans="1:8" s="2" customFormat="1">
      <c r="A2546" s="6" t="s">
        <v>692</v>
      </c>
      <c r="B2546" s="2" t="s">
        <v>109</v>
      </c>
      <c r="C2546" s="2" t="s">
        <v>2106</v>
      </c>
      <c r="D2546" s="2">
        <v>110000</v>
      </c>
      <c r="E2546" s="2">
        <v>650510</v>
      </c>
      <c r="F2546" s="2">
        <v>610110</v>
      </c>
      <c r="G2546" s="32">
        <f>33272+300</f>
        <v>33572</v>
      </c>
      <c r="H2546" s="32">
        <f>33272+300</f>
        <v>33572</v>
      </c>
    </row>
    <row r="2547" spans="1:8" s="2" customFormat="1">
      <c r="A2547" s="6" t="s">
        <v>693</v>
      </c>
      <c r="B2547" s="2" t="s">
        <v>110</v>
      </c>
      <c r="C2547" s="2" t="s">
        <v>2106</v>
      </c>
      <c r="D2547" s="2">
        <v>110000</v>
      </c>
      <c r="E2547" s="2">
        <v>650510</v>
      </c>
      <c r="F2547" s="2">
        <v>610110</v>
      </c>
      <c r="G2547" s="32">
        <v>30189</v>
      </c>
      <c r="H2547" s="32">
        <v>30189</v>
      </c>
    </row>
    <row r="2548" spans="1:8" s="2" customFormat="1">
      <c r="A2548" s="6" t="s">
        <v>694</v>
      </c>
      <c r="B2548" s="2" t="s">
        <v>58</v>
      </c>
      <c r="C2548" s="2" t="s">
        <v>2106</v>
      </c>
      <c r="D2548" s="2">
        <v>110000</v>
      </c>
      <c r="E2548" s="2">
        <v>650510</v>
      </c>
      <c r="F2548" s="2">
        <v>610110</v>
      </c>
      <c r="G2548" s="32">
        <f>33454+900</f>
        <v>34354</v>
      </c>
      <c r="H2548" s="32">
        <f>33454+900</f>
        <v>34354</v>
      </c>
    </row>
    <row r="2549" spans="1:8" s="2" customFormat="1">
      <c r="A2549" s="6" t="s">
        <v>695</v>
      </c>
      <c r="B2549" s="2" t="s">
        <v>59</v>
      </c>
      <c r="C2549" s="2" t="s">
        <v>2106</v>
      </c>
      <c r="D2549" s="2">
        <v>110000</v>
      </c>
      <c r="E2549" s="2">
        <v>650510</v>
      </c>
      <c r="F2549" s="2">
        <v>610110</v>
      </c>
      <c r="G2549" s="32">
        <f>29023+650</f>
        <v>29673</v>
      </c>
      <c r="H2549" s="32">
        <f>29023+650</f>
        <v>29673</v>
      </c>
    </row>
    <row r="2550" spans="1:8" s="2" customFormat="1">
      <c r="A2550" s="6" t="s">
        <v>696</v>
      </c>
      <c r="B2550" s="2" t="s">
        <v>52</v>
      </c>
      <c r="C2550" s="2" t="s">
        <v>2106</v>
      </c>
      <c r="D2550" s="2">
        <v>110000</v>
      </c>
      <c r="E2550" s="2">
        <v>650510</v>
      </c>
      <c r="F2550" s="2">
        <v>610110</v>
      </c>
      <c r="G2550" s="32">
        <f>32592+1100</f>
        <v>33692</v>
      </c>
      <c r="H2550" s="32">
        <f>32592+1100</f>
        <v>33692</v>
      </c>
    </row>
    <row r="2551" spans="1:8" s="2" customFormat="1">
      <c r="A2551" s="6" t="s">
        <v>697</v>
      </c>
      <c r="B2551" s="2" t="s">
        <v>53</v>
      </c>
      <c r="C2551" s="2" t="s">
        <v>2106</v>
      </c>
      <c r="D2551" s="2">
        <v>110000</v>
      </c>
      <c r="E2551" s="2">
        <v>650510</v>
      </c>
      <c r="F2551" s="2">
        <v>610110</v>
      </c>
      <c r="G2551" s="32">
        <f>29618+1100</f>
        <v>30718</v>
      </c>
      <c r="H2551" s="32">
        <f>29618+1100</f>
        <v>30718</v>
      </c>
    </row>
    <row r="2552" spans="1:8" s="2" customFormat="1">
      <c r="A2552" s="6" t="s">
        <v>698</v>
      </c>
      <c r="B2552" s="2" t="s">
        <v>54</v>
      </c>
      <c r="C2552" s="2" t="s">
        <v>2106</v>
      </c>
      <c r="D2552" s="2">
        <v>110000</v>
      </c>
      <c r="E2552" s="2">
        <v>650510</v>
      </c>
      <c r="F2552" s="2">
        <v>610110</v>
      </c>
      <c r="G2552" s="32">
        <f>30110+650</f>
        <v>30760</v>
      </c>
      <c r="H2552" s="32">
        <f>30110+650</f>
        <v>30760</v>
      </c>
    </row>
    <row r="2553" spans="1:8" s="2" customFormat="1">
      <c r="A2553" s="6" t="s">
        <v>699</v>
      </c>
      <c r="B2553" s="2" t="s">
        <v>55</v>
      </c>
      <c r="C2553" s="2" t="s">
        <v>2106</v>
      </c>
      <c r="D2553" s="2">
        <v>110000</v>
      </c>
      <c r="E2553" s="2">
        <v>650510</v>
      </c>
      <c r="F2553" s="2">
        <v>610110</v>
      </c>
      <c r="G2553" s="32">
        <f>28529+890</f>
        <v>29419</v>
      </c>
      <c r="H2553" s="32">
        <f>28529+890</f>
        <v>29419</v>
      </c>
    </row>
    <row r="2554" spans="1:8" s="2" customFormat="1">
      <c r="A2554" s="6" t="s">
        <v>700</v>
      </c>
      <c r="B2554" s="2" t="s">
        <v>56</v>
      </c>
      <c r="C2554" s="2" t="s">
        <v>2106</v>
      </c>
      <c r="D2554" s="2">
        <v>110000</v>
      </c>
      <c r="E2554" s="2">
        <v>650510</v>
      </c>
      <c r="F2554" s="2">
        <v>610110</v>
      </c>
      <c r="G2554" s="32">
        <f>28880+650</f>
        <v>29530</v>
      </c>
      <c r="H2554" s="32">
        <f>28880+650</f>
        <v>29530</v>
      </c>
    </row>
    <row r="2555" spans="1:8" s="2" customFormat="1">
      <c r="A2555" s="6" t="s">
        <v>701</v>
      </c>
      <c r="B2555" s="2" t="s">
        <v>57</v>
      </c>
      <c r="C2555" s="2" t="s">
        <v>2106</v>
      </c>
      <c r="D2555" s="2">
        <v>110000</v>
      </c>
      <c r="E2555" s="2">
        <v>650510</v>
      </c>
      <c r="F2555" s="2">
        <v>610110</v>
      </c>
      <c r="G2555" s="32">
        <f>40631+1400</f>
        <v>42031</v>
      </c>
      <c r="H2555" s="32">
        <f>40631+1400</f>
        <v>42031</v>
      </c>
    </row>
    <row r="2556" spans="1:8" s="2" customFormat="1">
      <c r="A2556" s="6" t="s">
        <v>702</v>
      </c>
      <c r="B2556" s="2" t="s">
        <v>2071</v>
      </c>
      <c r="C2556" s="2" t="s">
        <v>2106</v>
      </c>
      <c r="D2556" s="2">
        <v>110000</v>
      </c>
      <c r="E2556" s="2">
        <v>650510</v>
      </c>
      <c r="F2556" s="2">
        <v>610110</v>
      </c>
      <c r="G2556" s="32">
        <f>35279+1400</f>
        <v>36679</v>
      </c>
      <c r="H2556" s="32">
        <f>35279+1400</f>
        <v>36679</v>
      </c>
    </row>
    <row r="2557" spans="1:8" s="2" customFormat="1">
      <c r="A2557" s="6" t="s">
        <v>703</v>
      </c>
      <c r="B2557" s="2" t="s">
        <v>2072</v>
      </c>
      <c r="C2557" s="2" t="s">
        <v>2106</v>
      </c>
      <c r="D2557" s="2">
        <v>110000</v>
      </c>
      <c r="E2557" s="2">
        <v>650510</v>
      </c>
      <c r="F2557" s="2">
        <v>610110</v>
      </c>
      <c r="G2557" s="32">
        <f>27823+300</f>
        <v>28123</v>
      </c>
      <c r="H2557" s="32">
        <f>27823+300</f>
        <v>28123</v>
      </c>
    </row>
    <row r="2558" spans="1:8" s="2" customFormat="1">
      <c r="A2558" s="6" t="s">
        <v>704</v>
      </c>
      <c r="B2558" s="2" t="s">
        <v>2073</v>
      </c>
      <c r="C2558" s="2" t="s">
        <v>2106</v>
      </c>
      <c r="D2558" s="2">
        <v>110000</v>
      </c>
      <c r="E2558" s="2">
        <v>650510</v>
      </c>
      <c r="F2558" s="2">
        <v>610110</v>
      </c>
      <c r="G2558" s="32">
        <f>34369+1400</f>
        <v>35769</v>
      </c>
      <c r="H2558" s="32">
        <f>34369+1400</f>
        <v>35769</v>
      </c>
    </row>
    <row r="2559" spans="1:8" s="2" customFormat="1">
      <c r="A2559" s="6" t="s">
        <v>705</v>
      </c>
      <c r="B2559" s="2" t="s">
        <v>2074</v>
      </c>
      <c r="C2559" s="2" t="s">
        <v>2941</v>
      </c>
      <c r="D2559" s="2">
        <v>110000</v>
      </c>
      <c r="E2559" s="2">
        <v>650510</v>
      </c>
      <c r="F2559" s="2">
        <v>610410</v>
      </c>
      <c r="G2559" s="32">
        <f>17924+502</f>
        <v>18426</v>
      </c>
      <c r="H2559" s="32">
        <f>17924+502</f>
        <v>18426</v>
      </c>
    </row>
    <row r="2560" spans="1:8" s="2" customFormat="1">
      <c r="A2560" s="6" t="s">
        <v>706</v>
      </c>
      <c r="B2560" s="2" t="s">
        <v>2621</v>
      </c>
      <c r="C2560" s="2" t="s">
        <v>1609</v>
      </c>
      <c r="D2560" s="2">
        <v>110000</v>
      </c>
      <c r="E2560" s="2">
        <v>650510</v>
      </c>
      <c r="F2560" s="2">
        <v>610410</v>
      </c>
      <c r="G2560" s="32">
        <f>15798+442</f>
        <v>16240</v>
      </c>
      <c r="H2560" s="32">
        <f>15798+442</f>
        <v>16240</v>
      </c>
    </row>
    <row r="2561" spans="1:8" s="2" customFormat="1">
      <c r="A2561" s="6"/>
      <c r="C2561" s="2" t="s">
        <v>2950</v>
      </c>
      <c r="D2561" s="2">
        <v>110000</v>
      </c>
      <c r="E2561" s="2">
        <v>650510</v>
      </c>
      <c r="F2561" s="2">
        <v>610000</v>
      </c>
      <c r="G2561" s="32"/>
      <c r="H2561" s="32"/>
    </row>
    <row r="2562" spans="1:8" s="2" customFormat="1">
      <c r="A2562" s="6"/>
      <c r="C2562" s="2" t="s">
        <v>2951</v>
      </c>
      <c r="D2562" s="2">
        <v>110000</v>
      </c>
      <c r="E2562" s="2">
        <v>650510</v>
      </c>
      <c r="F2562" s="2">
        <v>630000</v>
      </c>
      <c r="G2562" s="32">
        <f>SUM(G2537:G2561)*0.19-575</f>
        <v>181601.75</v>
      </c>
      <c r="H2562" s="32">
        <f>SUM(H2537:H2561)*0.19-575</f>
        <v>181601.75</v>
      </c>
    </row>
    <row r="2563" spans="1:8" s="2" customFormat="1">
      <c r="A2563" s="5" t="s">
        <v>2539</v>
      </c>
      <c r="B2563" s="2" t="s">
        <v>3225</v>
      </c>
      <c r="G2563" s="32"/>
      <c r="H2563" s="32"/>
    </row>
    <row r="2564" spans="1:8" s="2" customFormat="1">
      <c r="A2564" s="6"/>
      <c r="G2564" s="32"/>
      <c r="H2564" s="32"/>
    </row>
    <row r="2565" spans="1:8" s="2" customFormat="1">
      <c r="A2565" s="6"/>
      <c r="C2565" s="8" t="s">
        <v>1129</v>
      </c>
      <c r="G2565" s="32">
        <f>SUM(G2537:G2562)</f>
        <v>1140426.75</v>
      </c>
      <c r="H2565" s="32">
        <f>SUM(H2537:H2562)</f>
        <v>1140426.75</v>
      </c>
    </row>
    <row r="2566" spans="1:8" s="2" customFormat="1">
      <c r="A2566" s="6"/>
      <c r="C2566" s="2" t="s">
        <v>2234</v>
      </c>
      <c r="D2566" s="2">
        <v>110000</v>
      </c>
      <c r="E2566" s="2">
        <v>650510</v>
      </c>
      <c r="F2566" s="2">
        <v>710000</v>
      </c>
      <c r="G2566" s="32">
        <v>31952</v>
      </c>
      <c r="H2566" s="32">
        <v>31952</v>
      </c>
    </row>
    <row r="2567" spans="1:8" s="2" customFormat="1">
      <c r="A2567" s="6"/>
      <c r="C2567" s="8" t="s">
        <v>2235</v>
      </c>
      <c r="G2567" s="32">
        <f>G2565+G2566</f>
        <v>1172378.75</v>
      </c>
      <c r="H2567" s="32">
        <f>H2565+H2566</f>
        <v>1172378.75</v>
      </c>
    </row>
    <row r="2568" spans="1:8" s="2" customFormat="1">
      <c r="A2568" s="6"/>
      <c r="G2568" s="32"/>
      <c r="H2568" s="32"/>
    </row>
    <row r="2569" spans="1:8" s="2" customFormat="1">
      <c r="A2569" s="5" t="s">
        <v>2540</v>
      </c>
      <c r="B2569" s="2" t="s">
        <v>2075</v>
      </c>
      <c r="G2569" s="32"/>
      <c r="H2569" s="32"/>
    </row>
    <row r="2570" spans="1:8" s="2" customFormat="1">
      <c r="A2570" s="5"/>
      <c r="G2570" s="32"/>
      <c r="H2570" s="32"/>
    </row>
    <row r="2571" spans="1:8" s="2" customFormat="1">
      <c r="A2571" s="6"/>
      <c r="C2571" s="2" t="s">
        <v>1611</v>
      </c>
      <c r="D2571" s="2">
        <v>110000</v>
      </c>
      <c r="E2571" s="2">
        <v>650511</v>
      </c>
      <c r="F2571" s="2">
        <v>620000</v>
      </c>
      <c r="G2571" s="32">
        <v>20000</v>
      </c>
      <c r="H2571" s="32">
        <v>20000</v>
      </c>
    </row>
    <row r="2572" spans="1:8" s="2" customFormat="1">
      <c r="A2572" s="6"/>
      <c r="C2572" s="2" t="s">
        <v>2950</v>
      </c>
      <c r="D2572" s="2">
        <v>110000</v>
      </c>
      <c r="E2572" s="2">
        <v>650511</v>
      </c>
      <c r="F2572" s="2">
        <v>610000</v>
      </c>
      <c r="G2572" s="32">
        <v>8000</v>
      </c>
      <c r="H2572" s="32">
        <v>8000</v>
      </c>
    </row>
    <row r="2573" spans="1:8" s="2" customFormat="1">
      <c r="A2573" s="6"/>
      <c r="C2573" s="2" t="s">
        <v>2951</v>
      </c>
      <c r="D2573" s="2">
        <v>110000</v>
      </c>
      <c r="E2573" s="2">
        <v>650511</v>
      </c>
      <c r="F2573" s="2">
        <v>630000</v>
      </c>
      <c r="G2573" s="32">
        <f>SUM(G2571:G2572)*0.08</f>
        <v>2240</v>
      </c>
      <c r="H2573" s="32">
        <f>SUM(H2571:H2572)*0.08</f>
        <v>2240</v>
      </c>
    </row>
    <row r="2574" spans="1:8" s="2" customFormat="1">
      <c r="A2574" s="5"/>
      <c r="C2574" s="8" t="s">
        <v>1129</v>
      </c>
      <c r="G2574" s="32">
        <f>SUM(G2571:G2573)</f>
        <v>30240</v>
      </c>
      <c r="H2574" s="32">
        <f>SUM(H2571:H2573)</f>
        <v>30240</v>
      </c>
    </row>
    <row r="2575" spans="1:8" s="2" customFormat="1">
      <c r="A2575" s="5"/>
      <c r="C2575" s="2" t="s">
        <v>2234</v>
      </c>
      <c r="D2575" s="2">
        <v>110000</v>
      </c>
      <c r="E2575" s="2">
        <v>650511</v>
      </c>
      <c r="F2575" s="2">
        <v>710000</v>
      </c>
      <c r="G2575" s="32">
        <v>30616</v>
      </c>
      <c r="H2575" s="32">
        <v>30616</v>
      </c>
    </row>
    <row r="2576" spans="1:8" s="2" customFormat="1">
      <c r="A2576" s="5"/>
      <c r="C2576" s="8" t="s">
        <v>2235</v>
      </c>
      <c r="G2576" s="32">
        <f>SUM(G2574:G2575)</f>
        <v>60856</v>
      </c>
      <c r="H2576" s="32">
        <f>SUM(H2574:H2575)</f>
        <v>60856</v>
      </c>
    </row>
    <row r="2577" spans="1:8" s="2" customFormat="1">
      <c r="A2577" s="6"/>
      <c r="G2577" s="32"/>
      <c r="H2577" s="32"/>
    </row>
    <row r="2578" spans="1:8" s="2" customFormat="1">
      <c r="A2578" s="5" t="s">
        <v>2541</v>
      </c>
      <c r="B2578" s="2" t="s">
        <v>2076</v>
      </c>
      <c r="G2578" s="32"/>
      <c r="H2578" s="32"/>
    </row>
    <row r="2579" spans="1:8" s="2" customFormat="1">
      <c r="A2579" s="5"/>
      <c r="G2579" s="32"/>
      <c r="H2579" s="32"/>
    </row>
    <row r="2580" spans="1:8" s="2" customFormat="1">
      <c r="A2580" s="5"/>
      <c r="C2580" s="2" t="s">
        <v>2077</v>
      </c>
      <c r="D2580" s="2">
        <v>110000</v>
      </c>
      <c r="E2580" s="2">
        <v>650512</v>
      </c>
      <c r="F2580" s="2">
        <v>710000</v>
      </c>
      <c r="G2580" s="32">
        <v>3360</v>
      </c>
      <c r="H2580" s="32">
        <v>3360</v>
      </c>
    </row>
    <row r="2581" spans="1:8" s="2" customFormat="1">
      <c r="A2581" s="5"/>
      <c r="C2581" s="8" t="s">
        <v>2235</v>
      </c>
      <c r="G2581" s="32">
        <f>G2580</f>
        <v>3360</v>
      </c>
      <c r="H2581" s="32">
        <f>H2580</f>
        <v>3360</v>
      </c>
    </row>
    <row r="2582" spans="1:8" s="2" customFormat="1">
      <c r="A2582" s="6"/>
      <c r="G2582" s="32"/>
      <c r="H2582" s="32"/>
    </row>
    <row r="2583" spans="1:8" s="2" customFormat="1">
      <c r="A2583" s="5" t="s">
        <v>2544</v>
      </c>
      <c r="B2583" s="2" t="s">
        <v>1388</v>
      </c>
      <c r="G2583" s="32"/>
      <c r="H2583" s="32"/>
    </row>
    <row r="2584" spans="1:8" s="2" customFormat="1">
      <c r="A2584" s="5"/>
      <c r="G2584" s="32"/>
      <c r="H2584" s="32"/>
    </row>
    <row r="2585" spans="1:8" s="2" customFormat="1">
      <c r="A2585" s="6" t="s">
        <v>715</v>
      </c>
      <c r="B2585" s="2" t="s">
        <v>1389</v>
      </c>
      <c r="C2585" s="2" t="s">
        <v>2490</v>
      </c>
      <c r="D2585" s="2">
        <v>110000</v>
      </c>
      <c r="E2585" s="2">
        <v>650610</v>
      </c>
      <c r="F2585" s="2">
        <v>610110</v>
      </c>
      <c r="G2585" s="32">
        <v>62290</v>
      </c>
      <c r="H2585" s="32">
        <v>62290</v>
      </c>
    </row>
    <row r="2586" spans="1:8" s="2" customFormat="1">
      <c r="A2586" s="6" t="s">
        <v>716</v>
      </c>
      <c r="B2586" s="2" t="s">
        <v>1390</v>
      </c>
      <c r="C2586" s="2" t="s">
        <v>2490</v>
      </c>
      <c r="D2586" s="2">
        <v>110000</v>
      </c>
      <c r="E2586" s="2">
        <v>650610</v>
      </c>
      <c r="F2586" s="2">
        <v>610110</v>
      </c>
      <c r="G2586" s="32">
        <f>50329+1911</f>
        <v>52240</v>
      </c>
      <c r="H2586" s="32">
        <f>50329+1911</f>
        <v>52240</v>
      </c>
    </row>
    <row r="2587" spans="1:8" s="2" customFormat="1">
      <c r="A2587" s="6" t="s">
        <v>717</v>
      </c>
      <c r="B2587" s="2" t="s">
        <v>1391</v>
      </c>
      <c r="C2587" s="2" t="s">
        <v>544</v>
      </c>
      <c r="D2587" s="2">
        <v>110000</v>
      </c>
      <c r="E2587" s="2">
        <v>650610</v>
      </c>
      <c r="F2587" s="2">
        <v>610110</v>
      </c>
      <c r="G2587" s="32">
        <f>39610+990</f>
        <v>40600</v>
      </c>
      <c r="H2587" s="32">
        <f>39610+990</f>
        <v>40600</v>
      </c>
    </row>
    <row r="2588" spans="1:8" s="2" customFormat="1">
      <c r="A2588" s="6" t="s">
        <v>718</v>
      </c>
      <c r="B2588" s="2" t="s">
        <v>1392</v>
      </c>
      <c r="C2588" s="2" t="s">
        <v>544</v>
      </c>
      <c r="D2588" s="2">
        <v>110000</v>
      </c>
      <c r="E2588" s="2">
        <v>650610</v>
      </c>
      <c r="F2588" s="2">
        <v>610110</v>
      </c>
      <c r="G2588" s="32">
        <f>41959+1677</f>
        <v>43636</v>
      </c>
      <c r="H2588" s="32">
        <f>41959+1677</f>
        <v>43636</v>
      </c>
    </row>
    <row r="2589" spans="1:8" s="2" customFormat="1">
      <c r="A2589" s="6" t="s">
        <v>719</v>
      </c>
      <c r="B2589" s="2" t="s">
        <v>1393</v>
      </c>
      <c r="C2589" s="2" t="s">
        <v>544</v>
      </c>
      <c r="D2589" s="2">
        <v>110000</v>
      </c>
      <c r="E2589" s="2">
        <v>650610</v>
      </c>
      <c r="F2589" s="2">
        <v>610110</v>
      </c>
      <c r="G2589" s="32">
        <f>44718+1653</f>
        <v>46371</v>
      </c>
      <c r="H2589" s="32">
        <f>44718+1653</f>
        <v>46371</v>
      </c>
    </row>
    <row r="2590" spans="1:8" s="2" customFormat="1">
      <c r="A2590" s="6" t="s">
        <v>720</v>
      </c>
      <c r="B2590" s="2" t="s">
        <v>1394</v>
      </c>
      <c r="C2590" s="2" t="s">
        <v>544</v>
      </c>
      <c r="D2590" s="2">
        <v>110000</v>
      </c>
      <c r="E2590" s="2">
        <v>650610</v>
      </c>
      <c r="F2590" s="2">
        <v>610110</v>
      </c>
      <c r="G2590" s="32">
        <f>43361+1127</f>
        <v>44488</v>
      </c>
      <c r="H2590" s="32">
        <f>43361+1127</f>
        <v>44488</v>
      </c>
    </row>
    <row r="2591" spans="1:8" s="2" customFormat="1" ht="12.75" customHeight="1">
      <c r="A2591" s="6" t="s">
        <v>721</v>
      </c>
      <c r="B2591" s="2" t="s">
        <v>1556</v>
      </c>
      <c r="C2591" s="2" t="s">
        <v>1029</v>
      </c>
      <c r="D2591" s="2">
        <v>110000</v>
      </c>
      <c r="E2591" s="2">
        <v>650610</v>
      </c>
      <c r="F2591" s="2">
        <v>610210</v>
      </c>
      <c r="G2591" s="32">
        <f>60549+4849</f>
        <v>65398</v>
      </c>
      <c r="H2591" s="32">
        <f>60549+4849</f>
        <v>65398</v>
      </c>
    </row>
    <row r="2592" spans="1:8" s="2" customFormat="1">
      <c r="A2592" s="6" t="s">
        <v>722</v>
      </c>
      <c r="B2592" s="2" t="s">
        <v>1557</v>
      </c>
      <c r="C2592" s="2" t="s">
        <v>544</v>
      </c>
      <c r="D2592" s="2">
        <v>110000</v>
      </c>
      <c r="E2592" s="2">
        <v>650610</v>
      </c>
      <c r="F2592" s="2">
        <v>610110</v>
      </c>
      <c r="G2592" s="32">
        <f>42509+1105</f>
        <v>43614</v>
      </c>
      <c r="H2592" s="32">
        <f>42509+1105</f>
        <v>43614</v>
      </c>
    </row>
    <row r="2593" spans="1:8" s="2" customFormat="1">
      <c r="A2593" s="6" t="s">
        <v>723</v>
      </c>
      <c r="B2593" s="2" t="s">
        <v>1558</v>
      </c>
      <c r="C2593" s="2" t="s">
        <v>544</v>
      </c>
      <c r="D2593" s="2">
        <v>110000</v>
      </c>
      <c r="E2593" s="2">
        <v>650610</v>
      </c>
      <c r="F2593" s="2">
        <v>610110</v>
      </c>
      <c r="G2593" s="32">
        <f>45052+1486</f>
        <v>46538</v>
      </c>
      <c r="H2593" s="32">
        <f>45052+1486</f>
        <v>46538</v>
      </c>
    </row>
    <row r="2594" spans="1:8" s="2" customFormat="1">
      <c r="A2594" s="6" t="s">
        <v>724</v>
      </c>
      <c r="B2594" s="2" t="s">
        <v>1559</v>
      </c>
      <c r="C2594" s="2" t="s">
        <v>544</v>
      </c>
      <c r="D2594" s="2">
        <v>110000</v>
      </c>
      <c r="E2594" s="2">
        <v>650610</v>
      </c>
      <c r="F2594" s="2">
        <v>610110</v>
      </c>
      <c r="G2594" s="32">
        <f>44462+1996</f>
        <v>46458</v>
      </c>
      <c r="H2594" s="32">
        <f>44462+1996</f>
        <v>46458</v>
      </c>
    </row>
    <row r="2595" spans="1:8" s="2" customFormat="1">
      <c r="A2595" s="6" t="s">
        <v>725</v>
      </c>
      <c r="B2595" s="2" t="s">
        <v>2622</v>
      </c>
      <c r="C2595" s="2" t="s">
        <v>148</v>
      </c>
      <c r="D2595" s="2">
        <v>110000</v>
      </c>
      <c r="E2595" s="2">
        <v>650610</v>
      </c>
      <c r="F2595" s="2">
        <v>610110</v>
      </c>
      <c r="G2595" s="32">
        <v>35000</v>
      </c>
      <c r="H2595" s="32">
        <v>35000</v>
      </c>
    </row>
    <row r="2596" spans="1:8" s="2" customFormat="1">
      <c r="A2596" s="6" t="s">
        <v>726</v>
      </c>
      <c r="B2596" s="2" t="s">
        <v>1560</v>
      </c>
      <c r="C2596" s="2" t="s">
        <v>148</v>
      </c>
      <c r="D2596" s="2">
        <v>110000</v>
      </c>
      <c r="E2596" s="2">
        <v>650610</v>
      </c>
      <c r="F2596" s="2">
        <v>610110</v>
      </c>
      <c r="G2596" s="32">
        <f>35359+1167</f>
        <v>36526</v>
      </c>
      <c r="H2596" s="32">
        <f>35359+1167</f>
        <v>36526</v>
      </c>
    </row>
    <row r="2597" spans="1:8" s="2" customFormat="1">
      <c r="A2597" s="6"/>
      <c r="B2597" s="2" t="s">
        <v>1980</v>
      </c>
      <c r="C2597" s="2" t="s">
        <v>148</v>
      </c>
      <c r="D2597" s="2">
        <v>110000</v>
      </c>
      <c r="E2597" s="2">
        <v>650610</v>
      </c>
      <c r="F2597" s="2">
        <v>610110</v>
      </c>
      <c r="G2597" s="32">
        <v>35000</v>
      </c>
      <c r="H2597" s="32">
        <v>35000</v>
      </c>
    </row>
    <row r="2598" spans="1:8" s="2" customFormat="1">
      <c r="A2598" s="6" t="s">
        <v>727</v>
      </c>
      <c r="B2598" s="2" t="s">
        <v>1561</v>
      </c>
      <c r="C2598" s="2" t="s">
        <v>2106</v>
      </c>
      <c r="D2598" s="2">
        <v>110000</v>
      </c>
      <c r="E2598" s="2">
        <v>650610</v>
      </c>
      <c r="F2598" s="2">
        <v>610110</v>
      </c>
      <c r="G2598" s="32">
        <f>16443+411</f>
        <v>16854</v>
      </c>
      <c r="H2598" s="32">
        <f>16443+411</f>
        <v>16854</v>
      </c>
    </row>
    <row r="2599" spans="1:8" s="2" customFormat="1">
      <c r="A2599" s="6" t="s">
        <v>728</v>
      </c>
      <c r="B2599" s="2" t="s">
        <v>1562</v>
      </c>
      <c r="C2599" s="2" t="s">
        <v>1023</v>
      </c>
      <c r="D2599" s="2">
        <v>110000</v>
      </c>
      <c r="E2599" s="2">
        <v>650610</v>
      </c>
      <c r="F2599" s="2">
        <v>610410</v>
      </c>
      <c r="G2599" s="32">
        <f>29211+818</f>
        <v>30029</v>
      </c>
      <c r="H2599" s="32">
        <f>29211+818</f>
        <v>30029</v>
      </c>
    </row>
    <row r="2600" spans="1:8" s="2" customFormat="1">
      <c r="A2600" s="6"/>
      <c r="C2600" s="2" t="s">
        <v>1611</v>
      </c>
      <c r="D2600" s="2">
        <v>110000</v>
      </c>
      <c r="E2600" s="2">
        <v>650610</v>
      </c>
      <c r="F2600" s="2">
        <v>620000</v>
      </c>
      <c r="G2600" s="32"/>
      <c r="H2600" s="32"/>
    </row>
    <row r="2601" spans="1:8" s="2" customFormat="1">
      <c r="A2601" s="6"/>
      <c r="C2601" s="2" t="s">
        <v>1563</v>
      </c>
      <c r="D2601" s="2">
        <v>110000</v>
      </c>
      <c r="E2601" s="2">
        <v>650610</v>
      </c>
      <c r="F2601" s="2">
        <v>610300</v>
      </c>
      <c r="G2601" s="32">
        <v>32494</v>
      </c>
      <c r="H2601" s="32">
        <v>32494</v>
      </c>
    </row>
    <row r="2602" spans="1:8" s="2" customFormat="1">
      <c r="A2602" s="6"/>
      <c r="C2602" s="2" t="s">
        <v>2950</v>
      </c>
      <c r="D2602" s="2">
        <v>110000</v>
      </c>
      <c r="E2602" s="2">
        <v>650610</v>
      </c>
      <c r="F2602" s="2">
        <v>610000</v>
      </c>
      <c r="G2602" s="32"/>
      <c r="H2602" s="32"/>
    </row>
    <row r="2603" spans="1:8" s="2" customFormat="1">
      <c r="A2603" s="6"/>
      <c r="C2603" s="2" t="s">
        <v>2951</v>
      </c>
      <c r="D2603" s="2">
        <v>110000</v>
      </c>
      <c r="E2603" s="2">
        <v>650610</v>
      </c>
      <c r="F2603" s="2">
        <v>630000</v>
      </c>
      <c r="G2603" s="32">
        <f>SUM(G2585:G2602)*0.2</f>
        <v>135507.20000000001</v>
      </c>
      <c r="H2603" s="32">
        <f>SUM(H2585:H2602)*0.2</f>
        <v>135507.20000000001</v>
      </c>
    </row>
    <row r="2604" spans="1:8" s="2" customFormat="1">
      <c r="A2604" s="5"/>
      <c r="C2604" s="8" t="s">
        <v>1129</v>
      </c>
      <c r="G2604" s="32">
        <f>SUM(G2585:G2603)</f>
        <v>813043.19999999995</v>
      </c>
      <c r="H2604" s="32">
        <f>SUM(H2585:H2603)</f>
        <v>813043.19999999995</v>
      </c>
    </row>
    <row r="2605" spans="1:8" s="2" customFormat="1">
      <c r="A2605" s="5"/>
      <c r="C2605" s="2" t="s">
        <v>2234</v>
      </c>
      <c r="D2605" s="2">
        <v>110000</v>
      </c>
      <c r="E2605" s="2">
        <v>650610</v>
      </c>
      <c r="F2605" s="2">
        <v>710000</v>
      </c>
      <c r="G2605" s="32">
        <v>13621</v>
      </c>
      <c r="H2605" s="32">
        <v>13621</v>
      </c>
    </row>
    <row r="2606" spans="1:8" s="2" customFormat="1">
      <c r="A2606" s="5"/>
      <c r="C2606" s="8" t="s">
        <v>2235</v>
      </c>
      <c r="G2606" s="32">
        <f>G2604+G2605</f>
        <v>826664.2</v>
      </c>
      <c r="H2606" s="32">
        <f>H2604+H2605</f>
        <v>826664.2</v>
      </c>
    </row>
    <row r="2607" spans="1:8" s="2" customFormat="1">
      <c r="A2607" s="5"/>
      <c r="G2607" s="32"/>
      <c r="H2607" s="32"/>
    </row>
    <row r="2608" spans="1:8" s="2" customFormat="1">
      <c r="A2608" s="5" t="s">
        <v>2545</v>
      </c>
      <c r="B2608" s="2" t="s">
        <v>1564</v>
      </c>
      <c r="G2608" s="32"/>
      <c r="H2608" s="32"/>
    </row>
    <row r="2609" spans="1:8" s="2" customFormat="1">
      <c r="A2609" s="5"/>
      <c r="G2609" s="32"/>
      <c r="H2609" s="32"/>
    </row>
    <row r="2610" spans="1:8" s="2" customFormat="1">
      <c r="A2610" s="5"/>
      <c r="C2610" s="2" t="s">
        <v>2234</v>
      </c>
      <c r="D2610" s="2">
        <v>110000</v>
      </c>
      <c r="E2610" s="2">
        <v>650611</v>
      </c>
      <c r="F2610" s="2">
        <v>710000</v>
      </c>
      <c r="G2610" s="32">
        <v>8659</v>
      </c>
      <c r="H2610" s="32">
        <v>8659</v>
      </c>
    </row>
    <row r="2611" spans="1:8" s="2" customFormat="1">
      <c r="A2611" s="5"/>
      <c r="C2611" s="8" t="s">
        <v>2235</v>
      </c>
      <c r="G2611" s="32">
        <f>G2610</f>
        <v>8659</v>
      </c>
      <c r="H2611" s="32">
        <f>H2610</f>
        <v>8659</v>
      </c>
    </row>
    <row r="2612" spans="1:8" s="2" customFormat="1">
      <c r="A2612" s="5"/>
      <c r="G2612" s="32"/>
      <c r="H2612" s="32"/>
    </row>
    <row r="2613" spans="1:8" s="2" customFormat="1">
      <c r="A2613" s="5" t="s">
        <v>2546</v>
      </c>
      <c r="B2613" s="2" t="s">
        <v>1565</v>
      </c>
      <c r="G2613" s="32"/>
      <c r="H2613" s="32"/>
    </row>
    <row r="2614" spans="1:8" s="2" customFormat="1">
      <c r="A2614" s="5"/>
      <c r="G2614" s="32"/>
      <c r="H2614" s="32"/>
    </row>
    <row r="2615" spans="1:8" s="2" customFormat="1">
      <c r="A2615" s="6" t="s">
        <v>729</v>
      </c>
      <c r="B2615" s="2" t="s">
        <v>1566</v>
      </c>
      <c r="C2615" s="2" t="s">
        <v>1029</v>
      </c>
      <c r="D2615" s="2">
        <v>110000</v>
      </c>
      <c r="E2615" s="2">
        <v>650710</v>
      </c>
      <c r="F2615" s="2">
        <v>610110</v>
      </c>
      <c r="G2615" s="32">
        <f>78642+2281</f>
        <v>80923</v>
      </c>
      <c r="H2615" s="32">
        <f>78642+2281</f>
        <v>80923</v>
      </c>
    </row>
    <row r="2616" spans="1:8" s="2" customFormat="1">
      <c r="A2616" s="6" t="s">
        <v>730</v>
      </c>
      <c r="B2616" s="2" t="s">
        <v>1567</v>
      </c>
      <c r="C2616" s="2" t="s">
        <v>2490</v>
      </c>
      <c r="D2616" s="2">
        <v>110000</v>
      </c>
      <c r="E2616" s="2">
        <v>650710</v>
      </c>
      <c r="F2616" s="2">
        <v>610110</v>
      </c>
      <c r="G2616" s="32">
        <f>56768+1663</f>
        <v>58431</v>
      </c>
      <c r="H2616" s="32">
        <f>56768+1663</f>
        <v>58431</v>
      </c>
    </row>
    <row r="2617" spans="1:8" s="2" customFormat="1">
      <c r="A2617" s="6" t="s">
        <v>731</v>
      </c>
      <c r="B2617" s="2" t="s">
        <v>2486</v>
      </c>
      <c r="C2617" s="2" t="s">
        <v>2490</v>
      </c>
      <c r="D2617" s="2">
        <v>110000</v>
      </c>
      <c r="E2617" s="2">
        <v>650710</v>
      </c>
      <c r="F2617" s="2">
        <v>610110</v>
      </c>
      <c r="G2617" s="32">
        <f>59105+1797</f>
        <v>60902</v>
      </c>
      <c r="H2617" s="32">
        <f>59105+1797</f>
        <v>60902</v>
      </c>
    </row>
    <row r="2618" spans="1:8" s="2" customFormat="1">
      <c r="A2618" s="6" t="s">
        <v>732</v>
      </c>
      <c r="B2618" s="2" t="s">
        <v>786</v>
      </c>
      <c r="C2618" s="2" t="s">
        <v>2490</v>
      </c>
      <c r="D2618" s="2">
        <v>110000</v>
      </c>
      <c r="E2618" s="2">
        <v>650710</v>
      </c>
      <c r="F2618" s="2">
        <v>610110</v>
      </c>
      <c r="G2618" s="32">
        <f>78156+2376</f>
        <v>80532</v>
      </c>
      <c r="H2618" s="32">
        <f>78156+2376</f>
        <v>80532</v>
      </c>
    </row>
    <row r="2619" spans="1:8" s="2" customFormat="1">
      <c r="A2619" s="6" t="s">
        <v>733</v>
      </c>
      <c r="B2619" s="2" t="s">
        <v>787</v>
      </c>
      <c r="C2619" s="2" t="s">
        <v>2490</v>
      </c>
      <c r="D2619" s="2">
        <v>110000</v>
      </c>
      <c r="E2619" s="2">
        <v>650710</v>
      </c>
      <c r="F2619" s="2">
        <v>610110</v>
      </c>
      <c r="G2619" s="32">
        <f>62578+1902</f>
        <v>64480</v>
      </c>
      <c r="H2619" s="32">
        <f>62578+1902</f>
        <v>64480</v>
      </c>
    </row>
    <row r="2620" spans="1:8" s="2" customFormat="1">
      <c r="A2620" s="6" t="s">
        <v>734</v>
      </c>
      <c r="B2620" s="2" t="s">
        <v>788</v>
      </c>
      <c r="C2620" s="2" t="s">
        <v>148</v>
      </c>
      <c r="D2620" s="2">
        <v>110000</v>
      </c>
      <c r="E2620" s="2">
        <v>650710</v>
      </c>
      <c r="F2620" s="2">
        <v>610110</v>
      </c>
      <c r="G2620" s="32">
        <v>41817</v>
      </c>
      <c r="H2620" s="32">
        <v>41817</v>
      </c>
    </row>
    <row r="2621" spans="1:8" s="2" customFormat="1">
      <c r="A2621" s="6" t="s">
        <v>735</v>
      </c>
      <c r="B2621" s="2" t="s">
        <v>789</v>
      </c>
      <c r="C2621" s="2" t="s">
        <v>1031</v>
      </c>
      <c r="D2621" s="2">
        <v>110000</v>
      </c>
      <c r="E2621" s="2">
        <v>650710</v>
      </c>
      <c r="F2621" s="2">
        <v>610110</v>
      </c>
      <c r="G2621" s="32">
        <f>36082+1039</f>
        <v>37121</v>
      </c>
      <c r="H2621" s="32">
        <f>36082+1039</f>
        <v>37121</v>
      </c>
    </row>
    <row r="2622" spans="1:8" s="2" customFormat="1">
      <c r="A2622" s="6" t="s">
        <v>736</v>
      </c>
      <c r="B2622" s="2" t="s">
        <v>790</v>
      </c>
      <c r="C2622" s="2" t="s">
        <v>2106</v>
      </c>
      <c r="D2622" s="2">
        <v>110000</v>
      </c>
      <c r="E2622" s="2">
        <v>650710</v>
      </c>
      <c r="F2622" s="2">
        <v>610110</v>
      </c>
      <c r="G2622" s="32">
        <f>29424+847</f>
        <v>30271</v>
      </c>
      <c r="H2622" s="32">
        <f>29424+847</f>
        <v>30271</v>
      </c>
    </row>
    <row r="2623" spans="1:8" s="2" customFormat="1">
      <c r="A2623" s="6" t="s">
        <v>737</v>
      </c>
      <c r="B2623" s="2" t="s">
        <v>939</v>
      </c>
      <c r="C2623" s="2" t="s">
        <v>2106</v>
      </c>
      <c r="D2623" s="2">
        <v>110000</v>
      </c>
      <c r="E2623" s="2">
        <v>650710</v>
      </c>
      <c r="F2623" s="2">
        <v>610110</v>
      </c>
      <c r="G2623" s="32">
        <f>39105+1095</f>
        <v>40200</v>
      </c>
      <c r="H2623" s="32">
        <f>39105+1095</f>
        <v>40200</v>
      </c>
    </row>
    <row r="2624" spans="1:8" s="2" customFormat="1">
      <c r="A2624" s="6" t="s">
        <v>738</v>
      </c>
      <c r="B2624" s="2" t="s">
        <v>940</v>
      </c>
      <c r="C2624" s="2" t="s">
        <v>2884</v>
      </c>
      <c r="D2624" s="2">
        <v>110000</v>
      </c>
      <c r="E2624" s="2">
        <v>650710</v>
      </c>
      <c r="F2624" s="2">
        <v>610210</v>
      </c>
      <c r="G2624" s="32">
        <f>8426+801</f>
        <v>9227</v>
      </c>
      <c r="H2624" s="32">
        <f>8426+801</f>
        <v>9227</v>
      </c>
    </row>
    <row r="2625" spans="1:8" s="2" customFormat="1">
      <c r="A2625" s="6"/>
      <c r="D2625" s="2">
        <v>110000</v>
      </c>
      <c r="E2625" s="2">
        <v>650712</v>
      </c>
      <c r="F2625" s="2">
        <v>610210</v>
      </c>
      <c r="G2625" s="32">
        <v>19105</v>
      </c>
      <c r="H2625" s="32">
        <v>0</v>
      </c>
    </row>
    <row r="2626" spans="1:8" s="2" customFormat="1">
      <c r="A2626" s="6"/>
      <c r="E2626" s="2" t="s">
        <v>2880</v>
      </c>
      <c r="G2626" s="32">
        <f>G2624+G2625</f>
        <v>28332</v>
      </c>
      <c r="H2626" s="32">
        <f>H2624+H2625</f>
        <v>9227</v>
      </c>
    </row>
    <row r="2627" spans="1:8" s="2" customFormat="1">
      <c r="A2627" s="6" t="s">
        <v>739</v>
      </c>
      <c r="C2627" s="2" t="s">
        <v>1608</v>
      </c>
      <c r="D2627" s="2">
        <v>110000</v>
      </c>
      <c r="E2627" s="2">
        <v>650712</v>
      </c>
      <c r="F2627" s="2">
        <v>610210</v>
      </c>
      <c r="G2627" s="32">
        <v>16500</v>
      </c>
      <c r="H2627" s="32">
        <v>0</v>
      </c>
    </row>
    <row r="2628" spans="1:8" s="2" customFormat="1">
      <c r="A2628" s="6" t="s">
        <v>740</v>
      </c>
      <c r="B2628" s="2" t="s">
        <v>942</v>
      </c>
      <c r="C2628" s="2" t="s">
        <v>1609</v>
      </c>
      <c r="D2628" s="2">
        <v>110000</v>
      </c>
      <c r="E2628" s="2">
        <v>650710</v>
      </c>
      <c r="F2628" s="2">
        <v>610410</v>
      </c>
      <c r="G2628" s="32">
        <f>19198+538</f>
        <v>19736</v>
      </c>
      <c r="H2628" s="32">
        <f>19198+538</f>
        <v>19736</v>
      </c>
    </row>
    <row r="2629" spans="1:8" s="2" customFormat="1">
      <c r="A2629" s="6"/>
      <c r="C2629" s="2" t="s">
        <v>1611</v>
      </c>
      <c r="D2629" s="2">
        <v>110000</v>
      </c>
      <c r="E2629" s="2">
        <v>650710</v>
      </c>
      <c r="F2629" s="2">
        <v>620000</v>
      </c>
      <c r="G2629" s="32">
        <v>6000</v>
      </c>
      <c r="H2629" s="32">
        <v>6000</v>
      </c>
    </row>
    <row r="2630" spans="1:8" s="2" customFormat="1">
      <c r="A2630" s="6"/>
      <c r="C2630" s="2" t="s">
        <v>2950</v>
      </c>
      <c r="D2630" s="2">
        <v>110000</v>
      </c>
      <c r="E2630" s="2">
        <v>650710</v>
      </c>
      <c r="F2630" s="2">
        <v>610000</v>
      </c>
      <c r="G2630" s="32"/>
      <c r="H2630" s="32"/>
    </row>
    <row r="2631" spans="1:8" s="2" customFormat="1">
      <c r="A2631" s="6"/>
      <c r="C2631" s="2" t="s">
        <v>2951</v>
      </c>
      <c r="D2631" s="2">
        <v>110000</v>
      </c>
      <c r="E2631" s="2">
        <v>650710</v>
      </c>
      <c r="F2631" s="2">
        <v>630000</v>
      </c>
      <c r="G2631" s="32">
        <f>(SUM(G2615:G2630)-G2626)*0.21</f>
        <v>118701.45</v>
      </c>
      <c r="H2631" s="32">
        <f>(SUM(H2615:H2630)-H2626)*0.21</f>
        <v>111224.4</v>
      </c>
    </row>
    <row r="2632" spans="1:8" s="2" customFormat="1">
      <c r="A2632" s="5"/>
      <c r="C2632" s="8" t="s">
        <v>1129</v>
      </c>
      <c r="G2632" s="32">
        <f>SUM(G2615:G2631)-G2626</f>
        <v>683946.45</v>
      </c>
      <c r="H2632" s="32">
        <f>SUM(H2615:H2631)-H2626</f>
        <v>640864.4</v>
      </c>
    </row>
    <row r="2633" spans="1:8" s="2" customFormat="1">
      <c r="A2633" s="5"/>
      <c r="C2633" s="2" t="s">
        <v>2234</v>
      </c>
      <c r="D2633" s="2">
        <v>110000</v>
      </c>
      <c r="E2633" s="2">
        <v>650710</v>
      </c>
      <c r="F2633" s="2">
        <v>710000</v>
      </c>
      <c r="G2633" s="32">
        <v>21347</v>
      </c>
      <c r="H2633" s="32">
        <v>21347</v>
      </c>
    </row>
    <row r="2634" spans="1:8" s="2" customFormat="1">
      <c r="A2634" s="5"/>
      <c r="C2634" s="2" t="s">
        <v>1412</v>
      </c>
      <c r="D2634" s="2">
        <v>110000</v>
      </c>
      <c r="E2634" s="2">
        <v>650710</v>
      </c>
      <c r="F2634" s="2">
        <v>710000</v>
      </c>
      <c r="G2634" s="32">
        <v>3710</v>
      </c>
      <c r="H2634" s="32">
        <v>3710</v>
      </c>
    </row>
    <row r="2635" spans="1:8" s="2" customFormat="1">
      <c r="A2635" s="5"/>
      <c r="C2635" s="8" t="s">
        <v>2235</v>
      </c>
      <c r="G2635" s="32">
        <f>SUM(G2632:G2634)</f>
        <v>709003.45</v>
      </c>
      <c r="H2635" s="32">
        <f>SUM(H2632:H2634)</f>
        <v>665921.4</v>
      </c>
    </row>
    <row r="2636" spans="1:8" s="2" customFormat="1">
      <c r="A2636" s="5"/>
      <c r="G2636" s="32"/>
      <c r="H2636" s="32"/>
    </row>
    <row r="2637" spans="1:8" s="2" customFormat="1">
      <c r="A2637" s="5" t="s">
        <v>2547</v>
      </c>
      <c r="B2637" s="2" t="s">
        <v>1413</v>
      </c>
      <c r="G2637" s="32"/>
      <c r="H2637" s="32"/>
    </row>
    <row r="2638" spans="1:8" s="2" customFormat="1">
      <c r="A2638" s="5"/>
      <c r="G2638" s="32"/>
      <c r="H2638" s="32"/>
    </row>
    <row r="2639" spans="1:8" s="2" customFormat="1">
      <c r="A2639" s="5"/>
      <c r="C2639" s="2" t="s">
        <v>1611</v>
      </c>
      <c r="D2639" s="2">
        <v>110000</v>
      </c>
      <c r="E2639" s="2">
        <v>650711</v>
      </c>
      <c r="F2639" s="2">
        <v>620000</v>
      </c>
      <c r="G2639" s="32">
        <v>3600</v>
      </c>
      <c r="H2639" s="32">
        <v>3600</v>
      </c>
    </row>
    <row r="2640" spans="1:8" s="2" customFormat="1">
      <c r="A2640" s="5"/>
      <c r="C2640" s="2" t="s">
        <v>2951</v>
      </c>
      <c r="D2640" s="2">
        <v>110000</v>
      </c>
      <c r="E2640" s="2">
        <v>650711</v>
      </c>
      <c r="F2640" s="2">
        <v>630000</v>
      </c>
      <c r="G2640" s="32">
        <v>150</v>
      </c>
      <c r="H2640" s="32">
        <v>150</v>
      </c>
    </row>
    <row r="2641" spans="1:8" s="2" customFormat="1">
      <c r="A2641" s="5"/>
      <c r="C2641" s="8" t="s">
        <v>1129</v>
      </c>
      <c r="G2641" s="32">
        <f>SUM(G2639:G2640)</f>
        <v>3750</v>
      </c>
      <c r="H2641" s="32">
        <f>SUM(H2639:H2640)</f>
        <v>3750</v>
      </c>
    </row>
    <row r="2642" spans="1:8" s="2" customFormat="1">
      <c r="A2642" s="5"/>
      <c r="C2642" s="2" t="s">
        <v>2234</v>
      </c>
      <c r="D2642" s="2">
        <v>110000</v>
      </c>
      <c r="E2642" s="2">
        <v>650711</v>
      </c>
      <c r="F2642" s="2">
        <v>710000</v>
      </c>
      <c r="G2642" s="32">
        <v>12877</v>
      </c>
      <c r="H2642" s="32">
        <v>12877</v>
      </c>
    </row>
    <row r="2643" spans="1:8" s="2" customFormat="1">
      <c r="A2643" s="5"/>
      <c r="C2643" s="8" t="s">
        <v>2235</v>
      </c>
      <c r="G2643" s="32">
        <f>SUM(G2641:G2642)</f>
        <v>16627</v>
      </c>
      <c r="H2643" s="32">
        <f>SUM(H2641:H2642)</f>
        <v>16627</v>
      </c>
    </row>
    <row r="2644" spans="1:8" s="2" customFormat="1">
      <c r="A2644" s="5"/>
      <c r="G2644" s="32"/>
      <c r="H2644" s="32"/>
    </row>
    <row r="2645" spans="1:8" s="2" customFormat="1">
      <c r="A2645" s="6" t="s">
        <v>2551</v>
      </c>
      <c r="B2645" s="2" t="s">
        <v>2158</v>
      </c>
      <c r="D2645" s="26"/>
      <c r="G2645" s="32"/>
      <c r="H2645" s="32"/>
    </row>
    <row r="2646" spans="1:8" s="2" customFormat="1">
      <c r="D2646" s="26"/>
      <c r="G2646" s="32"/>
      <c r="H2646" s="32"/>
    </row>
    <row r="2647" spans="1:8" s="2" customFormat="1">
      <c r="A2647" s="5" t="s">
        <v>734</v>
      </c>
      <c r="B2647" s="2" t="s">
        <v>788</v>
      </c>
      <c r="C2647" s="2" t="s">
        <v>148</v>
      </c>
      <c r="D2647" s="26">
        <v>110000</v>
      </c>
      <c r="E2647" s="2">
        <v>650710</v>
      </c>
      <c r="F2647" s="2">
        <v>610110</v>
      </c>
      <c r="G2647" s="32">
        <v>41817</v>
      </c>
      <c r="H2647" s="32"/>
    </row>
    <row r="2648" spans="1:8" s="2" customFormat="1">
      <c r="A2648" s="5" t="s">
        <v>738</v>
      </c>
      <c r="B2648" s="2" t="s">
        <v>940</v>
      </c>
      <c r="C2648" s="2" t="s">
        <v>2884</v>
      </c>
      <c r="D2648" s="26">
        <v>110000</v>
      </c>
      <c r="E2648" s="2">
        <v>650712</v>
      </c>
      <c r="F2648" s="2">
        <v>610210</v>
      </c>
      <c r="G2648" s="32">
        <v>19105</v>
      </c>
      <c r="H2648" s="32">
        <v>19105</v>
      </c>
    </row>
    <row r="2649" spans="1:8" s="2" customFormat="1">
      <c r="D2649" s="26">
        <v>110000</v>
      </c>
      <c r="E2649" s="2">
        <v>650710</v>
      </c>
      <c r="F2649" s="2">
        <v>610210</v>
      </c>
      <c r="G2649" s="32">
        <f>8426+801</f>
        <v>9227</v>
      </c>
      <c r="H2649" s="32"/>
    </row>
    <row r="2650" spans="1:8" s="2" customFormat="1">
      <c r="D2650" s="26"/>
      <c r="E2650" s="2" t="s">
        <v>2880</v>
      </c>
      <c r="G2650" s="32">
        <f>G2648+G2649</f>
        <v>28332</v>
      </c>
      <c r="H2650" s="32">
        <f>H2648+H2649</f>
        <v>19105</v>
      </c>
    </row>
    <row r="2651" spans="1:8" s="2" customFormat="1">
      <c r="A2651" s="5" t="s">
        <v>941</v>
      </c>
      <c r="C2651" s="2" t="s">
        <v>1608</v>
      </c>
      <c r="D2651" s="26">
        <v>110000</v>
      </c>
      <c r="E2651" s="2">
        <v>650712</v>
      </c>
      <c r="F2651" s="2">
        <v>610210</v>
      </c>
      <c r="G2651" s="32">
        <v>16500</v>
      </c>
      <c r="H2651" s="32">
        <v>16500</v>
      </c>
    </row>
    <row r="2652" spans="1:8" s="2" customFormat="1">
      <c r="A2652" s="5" t="s">
        <v>2159</v>
      </c>
      <c r="C2652" s="2" t="s">
        <v>1611</v>
      </c>
      <c r="D2652" s="26">
        <v>110000</v>
      </c>
      <c r="E2652" s="2">
        <v>650712</v>
      </c>
      <c r="F2652" s="2">
        <v>620000</v>
      </c>
      <c r="G2652" s="32"/>
      <c r="H2652" s="32"/>
    </row>
    <row r="2653" spans="1:8" s="2" customFormat="1">
      <c r="A2653" s="5" t="s">
        <v>2160</v>
      </c>
      <c r="C2653" s="2" t="s">
        <v>2950</v>
      </c>
      <c r="D2653" s="26">
        <v>110000</v>
      </c>
      <c r="E2653" s="2">
        <v>650712</v>
      </c>
      <c r="F2653" s="2">
        <v>610000</v>
      </c>
      <c r="G2653" s="32"/>
      <c r="H2653" s="32"/>
    </row>
    <row r="2654" spans="1:8" s="2" customFormat="1">
      <c r="C2654" s="2" t="s">
        <v>2951</v>
      </c>
      <c r="D2654" s="26">
        <v>110000</v>
      </c>
      <c r="E2654" s="2">
        <v>650712</v>
      </c>
      <c r="F2654" s="2">
        <v>630000</v>
      </c>
      <c r="G2654" s="32">
        <f>(SUM(G2647:G2653)-G2650)*0.27</f>
        <v>23395.230000000003</v>
      </c>
      <c r="H2654" s="32">
        <f>(SUM(H2647:H2653)-H2650)*0.27</f>
        <v>9613.35</v>
      </c>
    </row>
    <row r="2655" spans="1:8" s="2" customFormat="1">
      <c r="C2655" s="8" t="s">
        <v>1129</v>
      </c>
      <c r="D2655" s="26"/>
      <c r="G2655" s="32">
        <f>SUM(G2647:G2654)-G2650</f>
        <v>110044.23000000001</v>
      </c>
      <c r="H2655" s="32">
        <f>SUM(H2647:H2654)-H2650</f>
        <v>45218.35</v>
      </c>
    </row>
    <row r="2656" spans="1:8" s="2" customFormat="1">
      <c r="C2656" s="2" t="s">
        <v>2234</v>
      </c>
      <c r="D2656" s="26">
        <v>110000</v>
      </c>
      <c r="E2656" s="2">
        <v>650712</v>
      </c>
      <c r="F2656" s="2">
        <v>710000</v>
      </c>
      <c r="G2656" s="32">
        <v>4950</v>
      </c>
      <c r="H2656" s="32">
        <v>4950</v>
      </c>
    </row>
    <row r="2657" spans="1:8" s="2" customFormat="1">
      <c r="C2657" s="2" t="s">
        <v>2147</v>
      </c>
      <c r="D2657" s="26">
        <v>110000</v>
      </c>
      <c r="E2657" s="2">
        <v>650712</v>
      </c>
      <c r="F2657" s="2">
        <v>790700</v>
      </c>
      <c r="G2657" s="32">
        <f>H2657</f>
        <v>5016.835</v>
      </c>
      <c r="H2657" s="32">
        <f>(H2655+H2656)*0.1</f>
        <v>5016.835</v>
      </c>
    </row>
    <row r="2658" spans="1:8" s="2" customFormat="1">
      <c r="C2658" s="2" t="s">
        <v>1412</v>
      </c>
      <c r="D2658" s="26">
        <v>110000</v>
      </c>
      <c r="E2658" s="2">
        <v>650710</v>
      </c>
      <c r="F2658" s="2">
        <v>710000</v>
      </c>
      <c r="G2658" s="32">
        <v>0</v>
      </c>
      <c r="H2658" s="32"/>
    </row>
    <row r="2659" spans="1:8" s="2" customFormat="1">
      <c r="C2659" s="8" t="s">
        <v>2235</v>
      </c>
      <c r="D2659" s="26"/>
      <c r="G2659" s="32">
        <f>SUM(G2655:G2658)</f>
        <v>120011.06500000002</v>
      </c>
      <c r="H2659" s="32">
        <f>SUM(H2655:H2658)</f>
        <v>55185.184999999998</v>
      </c>
    </row>
    <row r="2660" spans="1:8" s="2" customFormat="1">
      <c r="D2660" s="26"/>
      <c r="G2660" s="32"/>
      <c r="H2660" s="32"/>
    </row>
    <row r="2661" spans="1:8" s="2" customFormat="1">
      <c r="A2661" s="5" t="s">
        <v>465</v>
      </c>
      <c r="B2661" s="2" t="s">
        <v>2064</v>
      </c>
      <c r="C2661" s="8"/>
      <c r="E2661" s="20"/>
      <c r="G2661" s="32"/>
      <c r="H2661" s="32"/>
    </row>
    <row r="2662" spans="1:8" s="2" customFormat="1">
      <c r="A2662" s="5"/>
      <c r="C2662" s="8"/>
      <c r="E2662" s="20"/>
      <c r="G2662" s="32"/>
      <c r="H2662" s="32"/>
    </row>
    <row r="2663" spans="1:8" s="2" customFormat="1">
      <c r="A2663" s="5"/>
      <c r="C2663" s="2" t="s">
        <v>2234</v>
      </c>
      <c r="D2663" s="2">
        <v>110000</v>
      </c>
      <c r="E2663" s="20" t="s">
        <v>465</v>
      </c>
      <c r="F2663" s="2">
        <v>710000</v>
      </c>
      <c r="G2663" s="32">
        <v>3000</v>
      </c>
      <c r="H2663" s="32">
        <v>3000</v>
      </c>
    </row>
    <row r="2664" spans="1:8" s="2" customFormat="1">
      <c r="A2664" s="5"/>
      <c r="C2664" s="8" t="s">
        <v>2235</v>
      </c>
      <c r="E2664" s="20"/>
      <c r="G2664" s="32">
        <f>G2663</f>
        <v>3000</v>
      </c>
      <c r="H2664" s="32">
        <f>H2663</f>
        <v>3000</v>
      </c>
    </row>
    <row r="2665" spans="1:8" s="2" customFormat="1">
      <c r="A2665" s="5"/>
      <c r="E2665" s="20"/>
      <c r="G2665" s="32"/>
      <c r="H2665" s="32"/>
    </row>
    <row r="2666" spans="1:8" s="2" customFormat="1">
      <c r="A2666" s="5" t="s">
        <v>465</v>
      </c>
      <c r="B2666" s="2" t="s">
        <v>2065</v>
      </c>
      <c r="E2666" s="20"/>
      <c r="G2666" s="32"/>
      <c r="H2666" s="32"/>
    </row>
    <row r="2667" spans="1:8" s="2" customFormat="1">
      <c r="A2667" s="5"/>
      <c r="E2667" s="20"/>
      <c r="G2667" s="32"/>
      <c r="H2667" s="32"/>
    </row>
    <row r="2668" spans="1:8" s="2" customFormat="1">
      <c r="A2668" s="5"/>
      <c r="C2668" s="2" t="s">
        <v>2066</v>
      </c>
      <c r="D2668" s="2">
        <v>110000</v>
      </c>
      <c r="E2668" s="20" t="s">
        <v>465</v>
      </c>
      <c r="F2668" s="2">
        <v>710000</v>
      </c>
      <c r="G2668" s="32">
        <v>17600</v>
      </c>
      <c r="H2668" s="32">
        <v>17600</v>
      </c>
    </row>
    <row r="2669" spans="1:8" s="2" customFormat="1">
      <c r="A2669" s="5"/>
      <c r="C2669" s="2" t="s">
        <v>2067</v>
      </c>
      <c r="D2669" s="2">
        <v>110000</v>
      </c>
      <c r="E2669" s="20" t="s">
        <v>465</v>
      </c>
      <c r="F2669" s="2">
        <v>710000</v>
      </c>
      <c r="G2669" s="32">
        <v>1320</v>
      </c>
      <c r="H2669" s="32">
        <v>1320</v>
      </c>
    </row>
    <row r="2670" spans="1:8" s="2" customFormat="1">
      <c r="A2670" s="5"/>
      <c r="C2670" s="2" t="s">
        <v>2068</v>
      </c>
      <c r="D2670" s="2">
        <v>110000</v>
      </c>
      <c r="E2670" s="20" t="s">
        <v>465</v>
      </c>
      <c r="F2670" s="2">
        <v>710000</v>
      </c>
      <c r="G2670" s="32">
        <v>2500</v>
      </c>
      <c r="H2670" s="32">
        <v>2500</v>
      </c>
    </row>
    <row r="2671" spans="1:8" s="2" customFormat="1">
      <c r="A2671" s="5"/>
      <c r="C2671" s="8" t="s">
        <v>2235</v>
      </c>
      <c r="E2671" s="20"/>
      <c r="G2671" s="32">
        <f>SUM(G2668:G2670)</f>
        <v>21420</v>
      </c>
      <c r="H2671" s="32">
        <f>SUM(H2668:H2670)</f>
        <v>21420</v>
      </c>
    </row>
    <row r="2672" spans="1:8" s="2" customFormat="1">
      <c r="A2672" s="5"/>
      <c r="E2672" s="20"/>
      <c r="G2672" s="32"/>
      <c r="H2672" s="32"/>
    </row>
    <row r="2673" spans="1:8" s="2" customFormat="1">
      <c r="A2673" s="15">
        <v>660000</v>
      </c>
      <c r="B2673" s="2" t="s">
        <v>2875</v>
      </c>
      <c r="D2673" s="26"/>
      <c r="G2673" s="32"/>
      <c r="H2673" s="32"/>
    </row>
    <row r="2674" spans="1:8" s="2" customFormat="1">
      <c r="D2674" s="26"/>
      <c r="G2674" s="32"/>
      <c r="H2674" s="32"/>
    </row>
    <row r="2675" spans="1:8" s="2" customFormat="1">
      <c r="A2675" s="6" t="s">
        <v>758</v>
      </c>
      <c r="B2675" s="2" t="s">
        <v>2645</v>
      </c>
      <c r="C2675" s="2" t="s">
        <v>2644</v>
      </c>
      <c r="D2675" s="26">
        <v>110000</v>
      </c>
      <c r="E2675" s="2">
        <v>660000</v>
      </c>
      <c r="F2675" s="2">
        <v>610110</v>
      </c>
      <c r="G2675" s="32">
        <f>104372+3131</f>
        <v>107503</v>
      </c>
      <c r="H2675" s="32">
        <f>104372+3131</f>
        <v>107503</v>
      </c>
    </row>
    <row r="2676" spans="1:8" s="2" customFormat="1">
      <c r="A2676" s="6"/>
      <c r="D2676" s="26"/>
      <c r="G2676" s="32">
        <v>10000</v>
      </c>
      <c r="H2676" s="32"/>
    </row>
    <row r="2677" spans="1:8" s="2" customFormat="1">
      <c r="A2677" s="6"/>
      <c r="D2677" s="26"/>
      <c r="E2677" s="2" t="s">
        <v>2880</v>
      </c>
      <c r="G2677" s="32">
        <f>SUM(G2675:G2676)</f>
        <v>117503</v>
      </c>
      <c r="H2677" s="32">
        <f>SUM(H2675:H2676)</f>
        <v>107503</v>
      </c>
    </row>
    <row r="2678" spans="1:8" s="2" customFormat="1">
      <c r="A2678" s="6" t="s">
        <v>759</v>
      </c>
      <c r="B2678" s="2" t="s">
        <v>2646</v>
      </c>
      <c r="C2678" s="2" t="s">
        <v>2644</v>
      </c>
      <c r="D2678" s="26">
        <v>110000</v>
      </c>
      <c r="E2678" s="2">
        <v>660000</v>
      </c>
      <c r="F2678" s="2">
        <v>610110</v>
      </c>
      <c r="G2678" s="32">
        <f>76720+2302</f>
        <v>79022</v>
      </c>
      <c r="H2678" s="32">
        <f>76720+2302</f>
        <v>79022</v>
      </c>
    </row>
    <row r="2679" spans="1:8" s="2" customFormat="1">
      <c r="A2679" s="6" t="s">
        <v>162</v>
      </c>
      <c r="B2679" s="2" t="s">
        <v>2647</v>
      </c>
      <c r="C2679" s="2" t="s">
        <v>2644</v>
      </c>
      <c r="D2679" s="26">
        <v>110000</v>
      </c>
      <c r="E2679" s="2">
        <v>660000</v>
      </c>
      <c r="F2679" s="2">
        <v>610110</v>
      </c>
      <c r="G2679" s="32">
        <f>78802+2364</f>
        <v>81166</v>
      </c>
      <c r="H2679" s="32">
        <f>78802+2364</f>
        <v>81166</v>
      </c>
    </row>
    <row r="2680" spans="1:8" s="2" customFormat="1">
      <c r="A2680" s="6"/>
      <c r="D2680" s="26"/>
      <c r="G2680" s="32">
        <v>6250</v>
      </c>
      <c r="H2680" s="32"/>
    </row>
    <row r="2681" spans="1:8" s="2" customFormat="1">
      <c r="A2681" s="6"/>
      <c r="D2681" s="26"/>
      <c r="E2681" s="2" t="s">
        <v>2880</v>
      </c>
      <c r="G2681" s="32">
        <f>SUM(G2679:G2680)</f>
        <v>87416</v>
      </c>
      <c r="H2681" s="32">
        <f>SUM(H2679:H2680)</f>
        <v>81166</v>
      </c>
    </row>
    <row r="2682" spans="1:8" s="2" customFormat="1">
      <c r="A2682" s="6" t="s">
        <v>163</v>
      </c>
      <c r="B2682" s="2" t="s">
        <v>2648</v>
      </c>
      <c r="C2682" s="2" t="s">
        <v>2644</v>
      </c>
      <c r="D2682" s="26">
        <v>110000</v>
      </c>
      <c r="E2682" s="2">
        <v>660000</v>
      </c>
      <c r="F2682" s="2">
        <v>610110</v>
      </c>
      <c r="G2682" s="32">
        <f>87765+2633</f>
        <v>90398</v>
      </c>
      <c r="H2682" s="32">
        <f>87765+2633</f>
        <v>90398</v>
      </c>
    </row>
    <row r="2683" spans="1:8" s="2" customFormat="1">
      <c r="A2683" s="6" t="s">
        <v>164</v>
      </c>
      <c r="B2683" s="2" t="s">
        <v>2649</v>
      </c>
      <c r="C2683" s="2" t="s">
        <v>2644</v>
      </c>
      <c r="D2683" s="26">
        <v>110000</v>
      </c>
      <c r="E2683" s="2">
        <v>660000</v>
      </c>
      <c r="F2683" s="2">
        <v>610110</v>
      </c>
      <c r="G2683" s="32">
        <f>73986+2220</f>
        <v>76206</v>
      </c>
      <c r="H2683" s="32">
        <f>73986+2220</f>
        <v>76206</v>
      </c>
    </row>
    <row r="2684" spans="1:8" s="2" customFormat="1">
      <c r="A2684" s="6" t="s">
        <v>165</v>
      </c>
      <c r="B2684" s="2" t="s">
        <v>2650</v>
      </c>
      <c r="C2684" s="2" t="s">
        <v>2644</v>
      </c>
      <c r="D2684" s="26">
        <v>110000</v>
      </c>
      <c r="E2684" s="2">
        <v>660000</v>
      </c>
      <c r="F2684" s="2">
        <v>610110</v>
      </c>
      <c r="G2684" s="32">
        <f>76720+2302</f>
        <v>79022</v>
      </c>
      <c r="H2684" s="32">
        <f>76720+2302</f>
        <v>79022</v>
      </c>
    </row>
    <row r="2685" spans="1:8" s="2" customFormat="1">
      <c r="A2685" s="6"/>
      <c r="D2685" s="26"/>
      <c r="G2685" s="32">
        <v>10000</v>
      </c>
      <c r="H2685" s="32"/>
    </row>
    <row r="2686" spans="1:8" s="2" customFormat="1">
      <c r="A2686" s="6"/>
      <c r="D2686" s="26"/>
      <c r="E2686" s="2" t="s">
        <v>2880</v>
      </c>
      <c r="G2686" s="32">
        <f>SUM(G2684:G2685)</f>
        <v>89022</v>
      </c>
      <c r="H2686" s="32">
        <f>SUM(H2684:H2685)</f>
        <v>79022</v>
      </c>
    </row>
    <row r="2687" spans="1:8" s="2" customFormat="1">
      <c r="A2687" s="6" t="s">
        <v>166</v>
      </c>
      <c r="B2687" s="2" t="s">
        <v>2651</v>
      </c>
      <c r="C2687" s="2" t="s">
        <v>2644</v>
      </c>
      <c r="D2687" s="26">
        <v>110000</v>
      </c>
      <c r="E2687" s="2">
        <v>660000</v>
      </c>
      <c r="F2687" s="2">
        <v>610110</v>
      </c>
      <c r="G2687" s="32">
        <f>82543+2476</f>
        <v>85019</v>
      </c>
      <c r="H2687" s="32">
        <f>82543+2476</f>
        <v>85019</v>
      </c>
    </row>
    <row r="2688" spans="1:8" s="2" customFormat="1">
      <c r="A2688" s="6" t="s">
        <v>167</v>
      </c>
      <c r="B2688" s="2" t="s">
        <v>2652</v>
      </c>
      <c r="C2688" s="2" t="s">
        <v>2644</v>
      </c>
      <c r="D2688" s="26">
        <v>110000</v>
      </c>
      <c r="E2688" s="2">
        <v>660000</v>
      </c>
      <c r="F2688" s="2">
        <v>610110</v>
      </c>
      <c r="G2688" s="32">
        <f>80884+2427</f>
        <v>83311</v>
      </c>
      <c r="H2688" s="32">
        <f>80884+2427</f>
        <v>83311</v>
      </c>
    </row>
    <row r="2689" spans="1:8" s="2" customFormat="1">
      <c r="A2689" s="6"/>
      <c r="D2689" s="26"/>
      <c r="G2689" s="32">
        <v>10000</v>
      </c>
      <c r="H2689" s="32"/>
    </row>
    <row r="2690" spans="1:8" s="2" customFormat="1">
      <c r="A2690" s="6"/>
      <c r="D2690" s="26"/>
      <c r="E2690" s="2" t="s">
        <v>2880</v>
      </c>
      <c r="G2690" s="32">
        <f>SUM(G2688:G2689)</f>
        <v>93311</v>
      </c>
      <c r="H2690" s="32">
        <f>SUM(H2688:H2689)</f>
        <v>83311</v>
      </c>
    </row>
    <row r="2691" spans="1:8" s="2" customFormat="1">
      <c r="A2691" s="6" t="s">
        <v>168</v>
      </c>
      <c r="B2691" s="2" t="s">
        <v>2653</v>
      </c>
      <c r="C2691" s="2" t="s">
        <v>2644</v>
      </c>
      <c r="D2691" s="26">
        <v>110000</v>
      </c>
      <c r="E2691" s="2">
        <v>660000</v>
      </c>
      <c r="F2691" s="2">
        <v>610110</v>
      </c>
      <c r="G2691" s="32">
        <f>87765+2633</f>
        <v>90398</v>
      </c>
      <c r="H2691" s="32">
        <f>87765+2633</f>
        <v>90398</v>
      </c>
    </row>
    <row r="2692" spans="1:8" s="2" customFormat="1">
      <c r="A2692" s="6" t="s">
        <v>169</v>
      </c>
      <c r="B2692" s="2" t="s">
        <v>2623</v>
      </c>
      <c r="C2692" s="2" t="s">
        <v>2644</v>
      </c>
      <c r="D2692" s="26">
        <v>110000</v>
      </c>
      <c r="E2692" s="2">
        <v>660000</v>
      </c>
      <c r="F2692" s="2">
        <v>610110</v>
      </c>
      <c r="G2692" s="32">
        <f>72966+2189</f>
        <v>75155</v>
      </c>
      <c r="H2692" s="32">
        <f>72966+2189</f>
        <v>75155</v>
      </c>
    </row>
    <row r="2693" spans="1:8" s="2" customFormat="1">
      <c r="A2693" s="6" t="s">
        <v>170</v>
      </c>
      <c r="B2693" s="2" t="s">
        <v>2654</v>
      </c>
      <c r="C2693" s="2" t="s">
        <v>2644</v>
      </c>
      <c r="D2693" s="26">
        <v>110000</v>
      </c>
      <c r="E2693" s="2">
        <v>660000</v>
      </c>
      <c r="F2693" s="2">
        <v>610110</v>
      </c>
      <c r="G2693" s="32">
        <f>73948+1479</f>
        <v>75427</v>
      </c>
      <c r="H2693" s="32">
        <f>73948+1479</f>
        <v>75427</v>
      </c>
    </row>
    <row r="2694" spans="1:8" s="2" customFormat="1">
      <c r="A2694" s="6" t="s">
        <v>171</v>
      </c>
      <c r="B2694" s="2" t="s">
        <v>2655</v>
      </c>
      <c r="C2694" s="2" t="s">
        <v>2644</v>
      </c>
      <c r="D2694" s="26">
        <v>110000</v>
      </c>
      <c r="E2694" s="2">
        <v>660000</v>
      </c>
      <c r="F2694" s="2">
        <v>610110</v>
      </c>
      <c r="G2694" s="32">
        <f>81922+2458</f>
        <v>84380</v>
      </c>
      <c r="H2694" s="32">
        <f>81922+2458</f>
        <v>84380</v>
      </c>
    </row>
    <row r="2695" spans="1:8" s="2" customFormat="1">
      <c r="A2695" s="6" t="s">
        <v>172</v>
      </c>
      <c r="B2695" s="2" t="s">
        <v>1171</v>
      </c>
      <c r="C2695" s="2" t="s">
        <v>2644</v>
      </c>
      <c r="D2695" s="26">
        <v>110000</v>
      </c>
      <c r="E2695" s="2">
        <v>660000</v>
      </c>
      <c r="F2695" s="2">
        <v>610110</v>
      </c>
      <c r="G2695" s="32">
        <f>74517+2236</f>
        <v>76753</v>
      </c>
      <c r="H2695" s="32">
        <f>74517+2236</f>
        <v>76753</v>
      </c>
    </row>
    <row r="2696" spans="1:8" s="2" customFormat="1">
      <c r="A2696" s="6" t="s">
        <v>173</v>
      </c>
      <c r="B2696" s="2" t="s">
        <v>1172</v>
      </c>
      <c r="C2696" s="2" t="s">
        <v>1027</v>
      </c>
      <c r="D2696" s="26">
        <v>110000</v>
      </c>
      <c r="E2696" s="2">
        <v>660000</v>
      </c>
      <c r="F2696" s="2">
        <v>610110</v>
      </c>
      <c r="G2696" s="32">
        <f>65184+2020</f>
        <v>67204</v>
      </c>
      <c r="H2696" s="32">
        <f>65184+2020</f>
        <v>67204</v>
      </c>
    </row>
    <row r="2697" spans="1:8" s="2" customFormat="1">
      <c r="A2697" s="6" t="s">
        <v>174</v>
      </c>
      <c r="B2697" s="2" t="s">
        <v>1173</v>
      </c>
      <c r="C2697" s="2" t="s">
        <v>1145</v>
      </c>
      <c r="D2697" s="26">
        <v>110000</v>
      </c>
      <c r="E2697" s="2">
        <v>660000</v>
      </c>
      <c r="F2697" s="2">
        <v>610110</v>
      </c>
      <c r="G2697" s="32">
        <f>60222+2677</f>
        <v>62899</v>
      </c>
      <c r="H2697" s="32">
        <f>60222+2677</f>
        <v>62899</v>
      </c>
    </row>
    <row r="2698" spans="1:8" s="2" customFormat="1">
      <c r="A2698" s="6" t="s">
        <v>175</v>
      </c>
      <c r="B2698" s="2" t="s">
        <v>111</v>
      </c>
      <c r="C2698" s="2" t="s">
        <v>112</v>
      </c>
      <c r="D2698" s="26">
        <v>110000</v>
      </c>
      <c r="E2698" s="2">
        <v>660000</v>
      </c>
      <c r="F2698" s="2">
        <v>610110</v>
      </c>
      <c r="G2698" s="32">
        <v>75000</v>
      </c>
      <c r="H2698" s="32">
        <v>75000</v>
      </c>
    </row>
    <row r="2699" spans="1:8" s="2" customFormat="1">
      <c r="A2699" s="6" t="s">
        <v>176</v>
      </c>
      <c r="B2699" s="2" t="s">
        <v>2635</v>
      </c>
      <c r="C2699" s="2" t="s">
        <v>1145</v>
      </c>
      <c r="D2699" s="26">
        <v>110000</v>
      </c>
      <c r="E2699" s="2">
        <v>660000</v>
      </c>
      <c r="F2699" s="2">
        <v>610110</v>
      </c>
      <c r="G2699" s="32">
        <f>59823+2677</f>
        <v>62500</v>
      </c>
      <c r="H2699" s="32">
        <f>59823+2677</f>
        <v>62500</v>
      </c>
    </row>
    <row r="2700" spans="1:8" s="2" customFormat="1">
      <c r="A2700" s="6" t="s">
        <v>177</v>
      </c>
      <c r="B2700" s="2" t="s">
        <v>2886</v>
      </c>
      <c r="C2700" s="2" t="s">
        <v>1145</v>
      </c>
      <c r="D2700" s="26">
        <v>275017</v>
      </c>
      <c r="E2700" s="2">
        <v>660100</v>
      </c>
      <c r="F2700" s="2">
        <v>610110</v>
      </c>
      <c r="G2700" s="32">
        <f>54000+2677</f>
        <v>56677</v>
      </c>
      <c r="H2700" s="32"/>
    </row>
    <row r="2701" spans="1:8" s="2" customFormat="1">
      <c r="A2701" s="6" t="s">
        <v>178</v>
      </c>
      <c r="B2701" s="2" t="s">
        <v>574</v>
      </c>
      <c r="C2701" s="2" t="s">
        <v>1145</v>
      </c>
      <c r="D2701" s="26">
        <v>110000</v>
      </c>
      <c r="E2701" s="2">
        <v>660000</v>
      </c>
      <c r="F2701" s="2">
        <v>610110</v>
      </c>
      <c r="G2701" s="32">
        <v>60000</v>
      </c>
      <c r="H2701" s="32">
        <v>60000</v>
      </c>
    </row>
    <row r="2702" spans="1:8" s="2" customFormat="1">
      <c r="A2702" s="6" t="s">
        <v>179</v>
      </c>
      <c r="B2702" s="2" t="s">
        <v>2636</v>
      </c>
      <c r="C2702" s="2" t="s">
        <v>2106</v>
      </c>
      <c r="D2702" s="26">
        <v>110000</v>
      </c>
      <c r="E2702" s="2">
        <v>660000</v>
      </c>
      <c r="F2702" s="2">
        <v>610110</v>
      </c>
      <c r="G2702" s="32">
        <f>37801+1760</f>
        <v>39561</v>
      </c>
      <c r="H2702" s="32">
        <f>37801+1760</f>
        <v>39561</v>
      </c>
    </row>
    <row r="2703" spans="1:8" s="2" customFormat="1">
      <c r="A2703" s="6" t="s">
        <v>180</v>
      </c>
      <c r="B2703" s="2" t="s">
        <v>2637</v>
      </c>
      <c r="C2703" s="2" t="s">
        <v>2106</v>
      </c>
      <c r="D2703" s="26">
        <v>110000</v>
      </c>
      <c r="E2703" s="2">
        <v>660000</v>
      </c>
      <c r="F2703" s="2">
        <v>610110</v>
      </c>
      <c r="G2703" s="32">
        <f>41625+1760</f>
        <v>43385</v>
      </c>
      <c r="H2703" s="32">
        <f>41625+1760</f>
        <v>43385</v>
      </c>
    </row>
    <row r="2704" spans="1:8" s="2" customFormat="1">
      <c r="A2704" s="6"/>
      <c r="D2704" s="26"/>
      <c r="G2704" s="32"/>
      <c r="H2704" s="32"/>
    </row>
    <row r="2705" spans="1:8" s="2" customFormat="1">
      <c r="A2705" s="5" t="s">
        <v>465</v>
      </c>
      <c r="B2705" s="2" t="s">
        <v>2875</v>
      </c>
      <c r="D2705" s="26"/>
      <c r="G2705" s="32"/>
      <c r="H2705" s="32"/>
    </row>
    <row r="2706" spans="1:8" s="2" customFormat="1">
      <c r="A2706" s="6"/>
      <c r="D2706" s="26"/>
      <c r="G2706" s="32"/>
      <c r="H2706" s="32"/>
    </row>
    <row r="2707" spans="1:8" s="2" customFormat="1">
      <c r="A2707" s="6" t="s">
        <v>181</v>
      </c>
      <c r="B2707" s="2" t="s">
        <v>2625</v>
      </c>
      <c r="C2707" s="2" t="s">
        <v>1146</v>
      </c>
      <c r="D2707" s="26">
        <v>110000</v>
      </c>
      <c r="E2707" s="2">
        <v>660000</v>
      </c>
      <c r="F2707" s="2">
        <v>610110</v>
      </c>
      <c r="G2707" s="32">
        <f>17500+880</f>
        <v>18380</v>
      </c>
      <c r="H2707" s="32">
        <f>17500+880</f>
        <v>18380</v>
      </c>
    </row>
    <row r="2708" spans="1:8" s="2" customFormat="1">
      <c r="A2708" s="6"/>
      <c r="C2708" s="2" t="s">
        <v>2626</v>
      </c>
      <c r="D2708" s="26">
        <v>170010</v>
      </c>
      <c r="E2708" s="2">
        <v>660000</v>
      </c>
      <c r="F2708" s="2">
        <v>610110</v>
      </c>
      <c r="G2708" s="32">
        <f>17500+880</f>
        <v>18380</v>
      </c>
      <c r="H2708" s="32"/>
    </row>
    <row r="2709" spans="1:8" s="2" customFormat="1">
      <c r="A2709" s="6"/>
      <c r="D2709" s="26"/>
      <c r="E2709" s="2" t="s">
        <v>2880</v>
      </c>
      <c r="G2709" s="32">
        <f>SUM(G2707:G2708)</f>
        <v>36760</v>
      </c>
      <c r="H2709" s="32">
        <f>SUM(H2707:H2708)</f>
        <v>18380</v>
      </c>
    </row>
    <row r="2710" spans="1:8" s="2" customFormat="1">
      <c r="A2710" s="6" t="s">
        <v>182</v>
      </c>
      <c r="B2710" s="2" t="s">
        <v>2638</v>
      </c>
      <c r="C2710" s="2" t="s">
        <v>2106</v>
      </c>
      <c r="D2710" s="26">
        <v>110000</v>
      </c>
      <c r="E2710" s="2">
        <v>660000</v>
      </c>
      <c r="F2710" s="2">
        <v>610110</v>
      </c>
      <c r="G2710" s="32">
        <f>35000+1760</f>
        <v>36760</v>
      </c>
      <c r="H2710" s="32">
        <f>35000+1760</f>
        <v>36760</v>
      </c>
    </row>
    <row r="2711" spans="1:8" s="2" customFormat="1">
      <c r="A2711" s="6" t="s">
        <v>183</v>
      </c>
      <c r="B2711" s="2" t="s">
        <v>2639</v>
      </c>
      <c r="C2711" s="2" t="s">
        <v>2106</v>
      </c>
      <c r="D2711" s="26">
        <v>110000</v>
      </c>
      <c r="E2711" s="2">
        <v>660000</v>
      </c>
      <c r="F2711" s="2">
        <v>610110</v>
      </c>
      <c r="G2711" s="32">
        <f>48479+1760</f>
        <v>50239</v>
      </c>
      <c r="H2711" s="32">
        <f>48479+1760</f>
        <v>50239</v>
      </c>
    </row>
    <row r="2712" spans="1:8" s="2" customFormat="1">
      <c r="A2712" s="6" t="s">
        <v>920</v>
      </c>
      <c r="B2712" s="2" t="s">
        <v>2665</v>
      </c>
      <c r="C2712" s="2" t="s">
        <v>2106</v>
      </c>
      <c r="D2712" s="26">
        <v>110000</v>
      </c>
      <c r="E2712" s="2">
        <v>660000</v>
      </c>
      <c r="F2712" s="2">
        <v>610110</v>
      </c>
      <c r="G2712" s="32">
        <f>5526+2500</f>
        <v>8026</v>
      </c>
      <c r="H2712" s="32">
        <f>5526+2500</f>
        <v>8026</v>
      </c>
    </row>
    <row r="2713" spans="1:8" s="2" customFormat="1">
      <c r="A2713" s="6"/>
      <c r="D2713" s="26"/>
      <c r="G2713" s="32">
        <v>39474</v>
      </c>
      <c r="H2713" s="32"/>
    </row>
    <row r="2714" spans="1:8" s="2" customFormat="1">
      <c r="A2714" s="6"/>
      <c r="D2714" s="26"/>
      <c r="E2714" s="2" t="s">
        <v>2880</v>
      </c>
      <c r="G2714" s="32">
        <f>SUM(G2712:G2713)</f>
        <v>47500</v>
      </c>
      <c r="H2714" s="32">
        <f>SUM(H2712:H2713)</f>
        <v>8026</v>
      </c>
    </row>
    <row r="2715" spans="1:8" s="2" customFormat="1">
      <c r="A2715" s="6" t="s">
        <v>184</v>
      </c>
      <c r="B2715" s="2" t="s">
        <v>2641</v>
      </c>
      <c r="C2715" s="2" t="s">
        <v>2941</v>
      </c>
      <c r="D2715" s="26">
        <v>110000</v>
      </c>
      <c r="E2715" s="2">
        <v>660000</v>
      </c>
      <c r="F2715" s="2">
        <v>610410</v>
      </c>
      <c r="G2715" s="32">
        <f>21681+607</f>
        <v>22288</v>
      </c>
      <c r="H2715" s="32">
        <f>21681+607</f>
        <v>22288</v>
      </c>
    </row>
    <row r="2716" spans="1:8" s="2" customFormat="1">
      <c r="A2716" s="6" t="s">
        <v>185</v>
      </c>
      <c r="B2716" s="2" t="s">
        <v>2624</v>
      </c>
      <c r="C2716" s="2" t="s">
        <v>1204</v>
      </c>
      <c r="D2716" s="26">
        <v>110000</v>
      </c>
      <c r="E2716" s="2">
        <v>660000</v>
      </c>
      <c r="F2716" s="2">
        <v>610410</v>
      </c>
      <c r="G2716" s="32">
        <f>21726+608</f>
        <v>22334</v>
      </c>
      <c r="H2716" s="32">
        <f>21726+608</f>
        <v>22334</v>
      </c>
    </row>
    <row r="2717" spans="1:8" s="2" customFormat="1">
      <c r="A2717" s="6" t="s">
        <v>186</v>
      </c>
      <c r="B2717" s="2" t="s">
        <v>2640</v>
      </c>
      <c r="C2717" s="2" t="s">
        <v>1204</v>
      </c>
      <c r="D2717" s="26">
        <v>110000</v>
      </c>
      <c r="E2717" s="2">
        <v>660000</v>
      </c>
      <c r="F2717" s="2">
        <v>610410</v>
      </c>
      <c r="G2717" s="32">
        <f>22793+638</f>
        <v>23431</v>
      </c>
      <c r="H2717" s="32">
        <f>22793+638</f>
        <v>23431</v>
      </c>
    </row>
    <row r="2718" spans="1:8" s="2" customFormat="1">
      <c r="A2718" s="6" t="s">
        <v>187</v>
      </c>
      <c r="B2718" s="2" t="s">
        <v>1213</v>
      </c>
      <c r="C2718" s="2" t="s">
        <v>1204</v>
      </c>
      <c r="D2718" s="26">
        <v>110000</v>
      </c>
      <c r="E2718" s="2">
        <v>660000</v>
      </c>
      <c r="F2718" s="2">
        <v>610410</v>
      </c>
      <c r="G2718" s="32">
        <f>17947+503</f>
        <v>18450</v>
      </c>
      <c r="H2718" s="32">
        <f>17947+503</f>
        <v>18450</v>
      </c>
    </row>
    <row r="2719" spans="1:8" s="2" customFormat="1">
      <c r="A2719" s="6" t="s">
        <v>921</v>
      </c>
      <c r="C2719" s="2" t="s">
        <v>1456</v>
      </c>
      <c r="D2719" s="26">
        <v>275017</v>
      </c>
      <c r="E2719" s="2">
        <v>660100</v>
      </c>
      <c r="F2719" s="2">
        <v>610410</v>
      </c>
      <c r="G2719" s="32">
        <v>24931</v>
      </c>
      <c r="H2719" s="32"/>
    </row>
    <row r="2720" spans="1:8" s="2" customFormat="1">
      <c r="A2720" s="6" t="s">
        <v>922</v>
      </c>
      <c r="B2720" s="2" t="s">
        <v>2642</v>
      </c>
      <c r="C2720" s="2" t="s">
        <v>2170</v>
      </c>
      <c r="D2720" s="26">
        <v>275017</v>
      </c>
      <c r="E2720" s="2">
        <v>660100</v>
      </c>
      <c r="F2720" s="2">
        <v>610210</v>
      </c>
      <c r="G2720" s="32">
        <f>40000+1200</f>
        <v>41200</v>
      </c>
      <c r="H2720" s="32"/>
    </row>
    <row r="2721" spans="1:8" s="2" customFormat="1">
      <c r="A2721" s="6" t="s">
        <v>317</v>
      </c>
      <c r="C2721" s="2" t="s">
        <v>2950</v>
      </c>
      <c r="D2721" s="26">
        <v>110000</v>
      </c>
      <c r="E2721" s="2">
        <v>660000</v>
      </c>
      <c r="F2721" s="2">
        <v>610000</v>
      </c>
      <c r="G2721" s="36"/>
      <c r="H2721" s="36"/>
    </row>
    <row r="2722" spans="1:8" s="2" customFormat="1">
      <c r="A2722" s="6" t="s">
        <v>318</v>
      </c>
      <c r="C2722" s="2" t="s">
        <v>1611</v>
      </c>
      <c r="D2722" s="26">
        <v>110000</v>
      </c>
      <c r="E2722" s="2">
        <v>660000</v>
      </c>
      <c r="F2722" s="2">
        <v>620000</v>
      </c>
      <c r="G2722" s="32">
        <v>25000</v>
      </c>
      <c r="H2722" s="32">
        <v>25000</v>
      </c>
    </row>
    <row r="2723" spans="1:8" s="2" customFormat="1">
      <c r="A2723" s="6" t="s">
        <v>319</v>
      </c>
      <c r="C2723" s="2" t="s">
        <v>2063</v>
      </c>
      <c r="D2723" s="26">
        <v>110000</v>
      </c>
      <c r="E2723" s="2">
        <v>660000</v>
      </c>
      <c r="F2723" s="2">
        <v>610110</v>
      </c>
      <c r="G2723" s="32">
        <v>220000</v>
      </c>
      <c r="H2723" s="32">
        <v>220000</v>
      </c>
    </row>
    <row r="2724" spans="1:8" s="2" customFormat="1">
      <c r="A2724" s="6" t="s">
        <v>320</v>
      </c>
      <c r="C2724" s="2" t="s">
        <v>580</v>
      </c>
      <c r="D2724" s="26">
        <v>110000</v>
      </c>
      <c r="E2724" s="2">
        <v>660000</v>
      </c>
      <c r="F2724" s="2">
        <v>610300</v>
      </c>
      <c r="G2724" s="32">
        <v>65000</v>
      </c>
      <c r="H2724" s="32">
        <v>65000</v>
      </c>
    </row>
    <row r="2725" spans="1:8" s="2" customFormat="1">
      <c r="A2725" s="5"/>
      <c r="C2725" s="2" t="s">
        <v>2951</v>
      </c>
      <c r="D2725" s="26">
        <v>110000</v>
      </c>
      <c r="E2725" s="2">
        <v>660000</v>
      </c>
      <c r="F2725" s="2">
        <v>630000</v>
      </c>
      <c r="G2725" s="32">
        <f>(SUM(G2675:G2724)-G2709-G2690-G2686-G2681-G2677-G2714)*0.18-2950</f>
        <v>396853.22</v>
      </c>
      <c r="H2725" s="32">
        <f>(SUM(H2675:H2724)-H2709-H2690-H2686-H2681-H2677-H2714)*0.18-2950</f>
        <v>357809.06</v>
      </c>
    </row>
    <row r="2726" spans="1:8" s="2" customFormat="1">
      <c r="A2726" s="5"/>
      <c r="C2726" s="8" t="s">
        <v>1129</v>
      </c>
      <c r="D2726" s="26"/>
      <c r="G2726" s="32">
        <f>SUM(G2675:G2725)-G2677-G2681-G2686-G2690-G2709-G2714</f>
        <v>2617982.2199999997</v>
      </c>
      <c r="H2726" s="32">
        <f>SUM(H2675:H2725)-H2677-H2681-H2686-H2690-H2709-H2714</f>
        <v>2362026.06</v>
      </c>
    </row>
    <row r="2727" spans="1:8" s="2" customFormat="1">
      <c r="A2727" s="5"/>
      <c r="C2727" s="2" t="s">
        <v>2234</v>
      </c>
      <c r="D2727" s="26">
        <v>110000</v>
      </c>
      <c r="E2727" s="2">
        <v>660000</v>
      </c>
      <c r="F2727" s="2">
        <v>710000</v>
      </c>
      <c r="G2727" s="32">
        <f>14427+25297</f>
        <v>39724</v>
      </c>
      <c r="H2727" s="32">
        <f>14427+25297</f>
        <v>39724</v>
      </c>
    </row>
    <row r="2728" spans="1:8" s="2" customFormat="1">
      <c r="A2728" s="5"/>
      <c r="C2728" s="8" t="s">
        <v>2235</v>
      </c>
      <c r="D2728" s="26"/>
      <c r="G2728" s="32">
        <f>G2726+G2727</f>
        <v>2657706.2199999997</v>
      </c>
      <c r="H2728" s="32">
        <f>H2726+H2727</f>
        <v>2401750.06</v>
      </c>
    </row>
    <row r="2729" spans="1:8" s="2" customFormat="1">
      <c r="A2729" s="15"/>
      <c r="D2729" s="26"/>
      <c r="G2729" s="32"/>
      <c r="H2729" s="32"/>
    </row>
    <row r="2730" spans="1:8" s="2" customFormat="1">
      <c r="A2730" s="15">
        <v>660000</v>
      </c>
      <c r="B2730" s="2" t="s">
        <v>321</v>
      </c>
      <c r="D2730" s="26"/>
      <c r="G2730" s="32"/>
      <c r="H2730" s="32"/>
    </row>
    <row r="2731" spans="1:8" s="2" customFormat="1">
      <c r="A2731" s="15"/>
      <c r="D2731" s="26"/>
      <c r="G2731" s="32"/>
      <c r="H2731" s="32"/>
    </row>
    <row r="2732" spans="1:8" s="2" customFormat="1">
      <c r="A2732" s="15"/>
      <c r="C2732" s="2" t="s">
        <v>322</v>
      </c>
      <c r="D2732" s="26">
        <v>110000</v>
      </c>
      <c r="E2732" s="2">
        <v>660000</v>
      </c>
      <c r="F2732" s="19">
        <v>710000</v>
      </c>
      <c r="G2732" s="32">
        <v>970530</v>
      </c>
      <c r="H2732" s="32">
        <v>970530</v>
      </c>
    </row>
    <row r="2733" spans="1:8" s="2" customFormat="1">
      <c r="A2733" s="15"/>
      <c r="C2733" s="8" t="s">
        <v>2235</v>
      </c>
      <c r="D2733" s="26"/>
      <c r="G2733" s="32">
        <f>G2732</f>
        <v>970530</v>
      </c>
      <c r="H2733" s="32">
        <f>H2732</f>
        <v>970530</v>
      </c>
    </row>
    <row r="2734" spans="1:8" s="2" customFormat="1">
      <c r="A2734" s="6"/>
      <c r="D2734" s="26"/>
      <c r="G2734" s="32"/>
      <c r="H2734" s="32"/>
    </row>
    <row r="2735" spans="1:8" s="2" customFormat="1">
      <c r="A2735" s="15">
        <v>660000</v>
      </c>
      <c r="B2735" s="2" t="s">
        <v>1492</v>
      </c>
      <c r="C2735" s="8"/>
      <c r="D2735" s="26"/>
      <c r="F2735" s="19"/>
      <c r="G2735" s="32"/>
      <c r="H2735" s="32"/>
    </row>
    <row r="2736" spans="1:8" s="2" customFormat="1">
      <c r="A2736" s="15"/>
      <c r="C2736" s="8"/>
      <c r="D2736" s="26"/>
      <c r="F2736" s="19"/>
      <c r="G2736" s="32"/>
      <c r="H2736" s="32"/>
    </row>
    <row r="2737" spans="1:8" s="2" customFormat="1">
      <c r="A2737" s="15"/>
      <c r="B2737" s="2" t="s">
        <v>2876</v>
      </c>
      <c r="C2737" s="2" t="s">
        <v>1178</v>
      </c>
      <c r="D2737" s="26">
        <v>110000</v>
      </c>
      <c r="E2737" s="2">
        <v>660000</v>
      </c>
      <c r="F2737" s="19">
        <v>610120</v>
      </c>
      <c r="G2737" s="32">
        <v>37265</v>
      </c>
      <c r="H2737" s="32">
        <v>37265</v>
      </c>
    </row>
    <row r="2738" spans="1:8" s="2" customFormat="1">
      <c r="A2738" s="15"/>
      <c r="C2738" s="2" t="s">
        <v>2951</v>
      </c>
      <c r="D2738" s="26">
        <v>110000</v>
      </c>
      <c r="E2738" s="2">
        <v>660000</v>
      </c>
      <c r="F2738" s="19">
        <v>610120</v>
      </c>
      <c r="G2738" s="32"/>
      <c r="H2738" s="32"/>
    </row>
    <row r="2739" spans="1:8" s="2" customFormat="1">
      <c r="A2739" s="15"/>
      <c r="C2739" s="8" t="s">
        <v>1129</v>
      </c>
      <c r="D2739" s="26"/>
      <c r="G2739" s="32">
        <f>SUM(G2737:G2738)</f>
        <v>37265</v>
      </c>
      <c r="H2739" s="32">
        <f>SUM(H2737:H2738)</f>
        <v>37265</v>
      </c>
    </row>
    <row r="2740" spans="1:8" s="2" customFormat="1">
      <c r="A2740" s="15"/>
      <c r="C2740" s="8" t="s">
        <v>2235</v>
      </c>
      <c r="D2740" s="26"/>
      <c r="G2740" s="32">
        <f>G2739</f>
        <v>37265</v>
      </c>
      <c r="H2740" s="32">
        <f>H2739</f>
        <v>37265</v>
      </c>
    </row>
    <row r="2741" spans="1:8" s="2" customFormat="1">
      <c r="A2741" s="15"/>
      <c r="D2741" s="26"/>
      <c r="G2741" s="32"/>
      <c r="H2741" s="32"/>
    </row>
    <row r="2742" spans="1:8" s="2" customFormat="1">
      <c r="A2742" s="6" t="s">
        <v>465</v>
      </c>
      <c r="B2742" s="2" t="s">
        <v>2455</v>
      </c>
      <c r="D2742" s="26"/>
      <c r="G2742" s="32"/>
      <c r="H2742" s="32"/>
    </row>
    <row r="2743" spans="1:8" s="2" customFormat="1">
      <c r="A2743" s="6"/>
      <c r="D2743" s="26"/>
      <c r="G2743" s="32"/>
      <c r="H2743" s="32"/>
    </row>
    <row r="2744" spans="1:8" s="2" customFormat="1">
      <c r="A2744" s="6"/>
      <c r="C2744" s="2" t="s">
        <v>1180</v>
      </c>
      <c r="D2744" s="26">
        <v>110000</v>
      </c>
      <c r="E2744" s="2">
        <v>660000</v>
      </c>
      <c r="F2744" s="2">
        <v>820000</v>
      </c>
      <c r="G2744" s="32">
        <v>8600</v>
      </c>
      <c r="H2744" s="32">
        <v>8600</v>
      </c>
    </row>
    <row r="2745" spans="1:8" s="2" customFormat="1">
      <c r="A2745" s="6"/>
      <c r="C2745" s="8" t="s">
        <v>2235</v>
      </c>
      <c r="D2745" s="26"/>
      <c r="G2745" s="32">
        <f>SUM(G2744)</f>
        <v>8600</v>
      </c>
      <c r="H2745" s="32">
        <f>SUM(H2744)</f>
        <v>8600</v>
      </c>
    </row>
    <row r="2746" spans="1:8" s="2" customFormat="1">
      <c r="A2746" s="6"/>
      <c r="C2746" s="8"/>
      <c r="D2746" s="26"/>
      <c r="G2746" s="32"/>
      <c r="H2746" s="32"/>
    </row>
    <row r="2747" spans="1:8" s="2" customFormat="1">
      <c r="A2747" s="5" t="s">
        <v>497</v>
      </c>
      <c r="B2747" s="2" t="s">
        <v>3213</v>
      </c>
      <c r="E2747" s="20"/>
      <c r="G2747" s="32"/>
      <c r="H2747" s="32"/>
    </row>
    <row r="2748" spans="1:8" s="2" customFormat="1">
      <c r="A2748" s="5"/>
      <c r="E2748" s="20"/>
      <c r="G2748" s="32"/>
      <c r="H2748" s="32"/>
    </row>
    <row r="2749" spans="1:8" s="2" customFormat="1">
      <c r="A2749" s="5" t="s">
        <v>2350</v>
      </c>
      <c r="B2749" s="2" t="s">
        <v>3214</v>
      </c>
      <c r="C2749" s="2" t="s">
        <v>1025</v>
      </c>
      <c r="D2749" s="2">
        <v>281093</v>
      </c>
      <c r="E2749" s="20" t="s">
        <v>497</v>
      </c>
      <c r="F2749" s="2">
        <v>610110</v>
      </c>
      <c r="G2749" s="32">
        <v>156405</v>
      </c>
      <c r="H2749" s="32"/>
    </row>
    <row r="2750" spans="1:8" s="2" customFormat="1">
      <c r="A2750" s="5"/>
      <c r="E2750" s="20"/>
      <c r="G2750" s="32">
        <f>2581</f>
        <v>2581</v>
      </c>
      <c r="H2750" s="32"/>
    </row>
    <row r="2751" spans="1:8" s="2" customFormat="1">
      <c r="A2751" s="5"/>
      <c r="E2751" s="5" t="s">
        <v>2880</v>
      </c>
      <c r="G2751" s="32">
        <f>G2749+G2750</f>
        <v>158986</v>
      </c>
      <c r="H2751" s="32">
        <f>H2749+H2750</f>
        <v>0</v>
      </c>
    </row>
    <row r="2752" spans="1:8" s="2" customFormat="1">
      <c r="A2752" s="5" t="s">
        <v>2351</v>
      </c>
      <c r="B2752" s="2" t="s">
        <v>1585</v>
      </c>
      <c r="C2752" s="2" t="s">
        <v>571</v>
      </c>
      <c r="D2752" s="2">
        <v>110000</v>
      </c>
      <c r="E2752" s="20" t="s">
        <v>497</v>
      </c>
      <c r="F2752" s="2">
        <v>610110</v>
      </c>
      <c r="G2752" s="32">
        <f>73986+2220</f>
        <v>76206</v>
      </c>
      <c r="H2752" s="32">
        <f>73986+2220</f>
        <v>76206</v>
      </c>
    </row>
    <row r="2753" spans="1:8" s="2" customFormat="1">
      <c r="A2753" s="6" t="s">
        <v>2352</v>
      </c>
      <c r="B2753" s="2" t="s">
        <v>2089</v>
      </c>
      <c r="C2753" s="2" t="s">
        <v>2644</v>
      </c>
      <c r="D2753" s="2">
        <v>110000</v>
      </c>
      <c r="E2753" s="20" t="s">
        <v>497</v>
      </c>
      <c r="F2753" s="2">
        <v>610110</v>
      </c>
      <c r="G2753" s="32">
        <f>75771+2273</f>
        <v>78044</v>
      </c>
      <c r="H2753" s="32">
        <f>75771+2273</f>
        <v>78044</v>
      </c>
    </row>
    <row r="2754" spans="1:8" s="2" customFormat="1">
      <c r="A2754" s="5" t="s">
        <v>2353</v>
      </c>
      <c r="B2754" s="2" t="s">
        <v>2090</v>
      </c>
      <c r="C2754" s="2" t="s">
        <v>2433</v>
      </c>
      <c r="D2754" s="2">
        <v>110000</v>
      </c>
      <c r="E2754" s="20" t="s">
        <v>497</v>
      </c>
      <c r="F2754" s="2">
        <v>610210</v>
      </c>
      <c r="G2754" s="32">
        <f>51260+1538</f>
        <v>52798</v>
      </c>
      <c r="H2754" s="32">
        <f>51260+1538</f>
        <v>52798</v>
      </c>
    </row>
    <row r="2755" spans="1:8" s="2" customFormat="1">
      <c r="A2755" s="5" t="s">
        <v>2354</v>
      </c>
      <c r="B2755" s="2" t="s">
        <v>2092</v>
      </c>
      <c r="C2755" s="2" t="s">
        <v>2809</v>
      </c>
      <c r="D2755" s="2">
        <v>110000</v>
      </c>
      <c r="E2755" s="20" t="s">
        <v>497</v>
      </c>
      <c r="F2755" s="2">
        <v>610210</v>
      </c>
      <c r="G2755" s="32">
        <f>43052+1291</f>
        <v>44343</v>
      </c>
      <c r="H2755" s="32">
        <f>43052+1291</f>
        <v>44343</v>
      </c>
    </row>
    <row r="2756" spans="1:8" s="2" customFormat="1">
      <c r="A2756" s="5" t="s">
        <v>2355</v>
      </c>
      <c r="B2756" s="2" t="s">
        <v>2091</v>
      </c>
      <c r="C2756" s="2" t="s">
        <v>2810</v>
      </c>
      <c r="D2756" s="2">
        <v>110000</v>
      </c>
      <c r="E2756" s="20" t="s">
        <v>497</v>
      </c>
      <c r="F2756" s="2">
        <v>610210</v>
      </c>
      <c r="G2756" s="32">
        <f>40201+1206</f>
        <v>41407</v>
      </c>
      <c r="H2756" s="32">
        <f>40201+1206</f>
        <v>41407</v>
      </c>
    </row>
    <row r="2757" spans="1:8" s="2" customFormat="1">
      <c r="A2757" s="10" t="s">
        <v>2356</v>
      </c>
      <c r="B2757" s="4" t="s">
        <v>2094</v>
      </c>
      <c r="C2757" s="4" t="s">
        <v>2884</v>
      </c>
      <c r="D2757" s="2">
        <v>110000</v>
      </c>
      <c r="E2757" s="20" t="s">
        <v>497</v>
      </c>
      <c r="F2757" s="2">
        <v>610210</v>
      </c>
      <c r="G2757" s="35">
        <f>28374+851</f>
        <v>29225</v>
      </c>
      <c r="H2757" s="35">
        <f>28374+851</f>
        <v>29225</v>
      </c>
    </row>
    <row r="2758" spans="1:8" s="2" customFormat="1">
      <c r="A2758" s="6" t="s">
        <v>2357</v>
      </c>
      <c r="B2758" s="2" t="s">
        <v>2093</v>
      </c>
      <c r="C2758" s="2" t="s">
        <v>572</v>
      </c>
      <c r="D2758" s="2">
        <v>110000</v>
      </c>
      <c r="E2758" s="20" t="s">
        <v>497</v>
      </c>
      <c r="F2758" s="2">
        <v>610210</v>
      </c>
      <c r="G2758" s="32">
        <v>26357</v>
      </c>
      <c r="H2758" s="32">
        <v>26357</v>
      </c>
    </row>
    <row r="2759" spans="1:8" s="2" customFormat="1">
      <c r="A2759" s="5"/>
      <c r="C2759" s="2" t="s">
        <v>573</v>
      </c>
      <c r="D2759" s="4">
        <v>193000</v>
      </c>
      <c r="E2759" s="21" t="s">
        <v>3028</v>
      </c>
      <c r="F2759" s="2">
        <v>610210</v>
      </c>
      <c r="G2759" s="32">
        <v>15617</v>
      </c>
      <c r="H2759" s="32"/>
    </row>
    <row r="2760" spans="1:8" s="2" customFormat="1">
      <c r="A2760" s="5"/>
      <c r="D2760" s="4">
        <v>170010</v>
      </c>
      <c r="E2760" s="21" t="s">
        <v>465</v>
      </c>
      <c r="F2760" s="2">
        <v>610210</v>
      </c>
      <c r="G2760" s="32">
        <v>15000</v>
      </c>
      <c r="H2760" s="32"/>
    </row>
    <row r="2761" spans="1:8" s="2" customFormat="1">
      <c r="A2761" s="5"/>
      <c r="E2761" s="5" t="s">
        <v>2880</v>
      </c>
      <c r="G2761" s="32">
        <f>SUM(G2758:G2760)</f>
        <v>56974</v>
      </c>
      <c r="H2761" s="32">
        <f>H2758+H2759</f>
        <v>26357</v>
      </c>
    </row>
    <row r="2762" spans="1:8" s="2" customFormat="1">
      <c r="A2762" s="5" t="s">
        <v>2358</v>
      </c>
      <c r="B2762" s="2" t="s">
        <v>2095</v>
      </c>
      <c r="C2762" s="2" t="s">
        <v>1061</v>
      </c>
      <c r="D2762" s="2">
        <v>110000</v>
      </c>
      <c r="E2762" s="20" t="s">
        <v>497</v>
      </c>
      <c r="F2762" s="2">
        <v>610410</v>
      </c>
      <c r="G2762" s="32">
        <f>28977+811</f>
        <v>29788</v>
      </c>
      <c r="H2762" s="32">
        <f>28977+811</f>
        <v>29788</v>
      </c>
    </row>
    <row r="2763" spans="1:8" s="2" customFormat="1">
      <c r="A2763" s="5" t="s">
        <v>2359</v>
      </c>
      <c r="B2763" s="2" t="s">
        <v>2096</v>
      </c>
      <c r="C2763" s="2" t="s">
        <v>2941</v>
      </c>
      <c r="D2763" s="2">
        <v>110000</v>
      </c>
      <c r="E2763" s="20" t="s">
        <v>497</v>
      </c>
      <c r="F2763" s="2">
        <v>610410</v>
      </c>
      <c r="G2763" s="32">
        <f>24972+699</f>
        <v>25671</v>
      </c>
      <c r="H2763" s="32">
        <f>24972+699</f>
        <v>25671</v>
      </c>
    </row>
    <row r="2764" spans="1:8" s="2" customFormat="1">
      <c r="A2764" s="5" t="s">
        <v>2360</v>
      </c>
      <c r="B2764" s="2" t="s">
        <v>2062</v>
      </c>
      <c r="C2764" s="2" t="s">
        <v>1023</v>
      </c>
      <c r="D2764" s="2">
        <v>110000</v>
      </c>
      <c r="E2764" s="20" t="s">
        <v>497</v>
      </c>
      <c r="F2764" s="2">
        <v>610410</v>
      </c>
      <c r="G2764" s="32">
        <f>29483+826</f>
        <v>30309</v>
      </c>
      <c r="H2764" s="32">
        <f>29483+826</f>
        <v>30309</v>
      </c>
    </row>
    <row r="2765" spans="1:8" s="2" customFormat="1">
      <c r="A2765" s="5" t="s">
        <v>2361</v>
      </c>
      <c r="B2765" s="2" t="s">
        <v>2629</v>
      </c>
      <c r="C2765" s="2" t="s">
        <v>1023</v>
      </c>
      <c r="D2765" s="2">
        <v>110000</v>
      </c>
      <c r="E2765" s="20" t="s">
        <v>497</v>
      </c>
      <c r="F2765" s="2">
        <v>610410</v>
      </c>
      <c r="G2765" s="32">
        <f>19788+554</f>
        <v>20342</v>
      </c>
      <c r="H2765" s="32">
        <f>19788+554</f>
        <v>20342</v>
      </c>
    </row>
    <row r="2766" spans="1:8" s="2" customFormat="1">
      <c r="A2766" s="5" t="s">
        <v>2362</v>
      </c>
      <c r="B2766" s="2" t="s">
        <v>1583</v>
      </c>
      <c r="C2766" s="2" t="s">
        <v>1023</v>
      </c>
      <c r="D2766" s="2">
        <v>110000</v>
      </c>
      <c r="E2766" s="20" t="s">
        <v>497</v>
      </c>
      <c r="F2766" s="2">
        <v>610410</v>
      </c>
      <c r="G2766" s="32">
        <f>20877+585</f>
        <v>21462</v>
      </c>
      <c r="H2766" s="32">
        <f>20877+585</f>
        <v>21462</v>
      </c>
    </row>
    <row r="2767" spans="1:8" s="2" customFormat="1">
      <c r="A2767" s="5" t="s">
        <v>2363</v>
      </c>
      <c r="B2767" s="2" t="s">
        <v>1584</v>
      </c>
      <c r="C2767" s="2" t="s">
        <v>1204</v>
      </c>
      <c r="D2767" s="2">
        <v>110000</v>
      </c>
      <c r="E2767" s="20" t="s">
        <v>497</v>
      </c>
      <c r="F2767" s="2">
        <v>610410</v>
      </c>
      <c r="G2767" s="32">
        <f>16616+465</f>
        <v>17081</v>
      </c>
      <c r="H2767" s="32">
        <f>16616+465</f>
        <v>17081</v>
      </c>
    </row>
    <row r="2768" spans="1:8" s="2" customFormat="1">
      <c r="A2768" s="5"/>
      <c r="C2768" s="2" t="s">
        <v>1611</v>
      </c>
      <c r="D2768" s="2">
        <v>110000</v>
      </c>
      <c r="E2768" s="20" t="s">
        <v>497</v>
      </c>
      <c r="F2768" s="2">
        <v>620000</v>
      </c>
      <c r="G2768" s="32"/>
      <c r="H2768" s="32"/>
    </row>
    <row r="2769" spans="1:8" s="2" customFormat="1">
      <c r="A2769" s="5"/>
      <c r="C2769" s="2" t="s">
        <v>2063</v>
      </c>
      <c r="D2769" s="2">
        <v>110000</v>
      </c>
      <c r="E2769" s="20" t="s">
        <v>497</v>
      </c>
      <c r="F2769" s="2">
        <v>610110</v>
      </c>
      <c r="G2769" s="32">
        <v>46275</v>
      </c>
      <c r="H2769" s="32">
        <v>46275</v>
      </c>
    </row>
    <row r="2770" spans="1:8" s="2" customFormat="1">
      <c r="A2770" s="5"/>
      <c r="C2770" s="2" t="s">
        <v>2950</v>
      </c>
      <c r="D2770" s="2">
        <v>110000</v>
      </c>
      <c r="E2770" s="20" t="s">
        <v>497</v>
      </c>
      <c r="F2770" s="2">
        <v>610000</v>
      </c>
      <c r="G2770" s="36"/>
      <c r="H2770" s="36"/>
    </row>
    <row r="2771" spans="1:8" s="2" customFormat="1">
      <c r="A2771" s="5"/>
      <c r="C2771" s="2" t="s">
        <v>2951</v>
      </c>
      <c r="D2771" s="2">
        <v>110000</v>
      </c>
      <c r="E2771" s="20" t="s">
        <v>497</v>
      </c>
      <c r="F2771" s="2">
        <v>630000</v>
      </c>
      <c r="G2771" s="32">
        <v>116410</v>
      </c>
      <c r="H2771" s="32">
        <v>88076</v>
      </c>
    </row>
    <row r="2772" spans="1:8" s="2" customFormat="1">
      <c r="A2772" s="5"/>
      <c r="C2772" s="8" t="s">
        <v>1129</v>
      </c>
      <c r="E2772" s="20"/>
      <c r="G2772" s="32">
        <f>SUM(G2749:G2771)-G2751-G2761</f>
        <v>845321</v>
      </c>
      <c r="H2772" s="32">
        <f>SUM(H2749:H2771)-H2751-H2761</f>
        <v>627384</v>
      </c>
    </row>
    <row r="2773" spans="1:8" s="2" customFormat="1">
      <c r="A2773" s="5"/>
      <c r="C2773" s="8" t="s">
        <v>2235</v>
      </c>
      <c r="E2773" s="20"/>
      <c r="G2773" s="32">
        <f>SUM(G2772:G2772)</f>
        <v>845321</v>
      </c>
      <c r="H2773" s="32">
        <f>SUM(H2772:H2772)</f>
        <v>627384</v>
      </c>
    </row>
    <row r="2774" spans="1:8" s="2" customFormat="1">
      <c r="A2774" s="5"/>
      <c r="C2774" s="8"/>
      <c r="E2774" s="20"/>
      <c r="G2774" s="32"/>
      <c r="H2774" s="32"/>
    </row>
    <row r="2775" spans="1:8" s="2" customFormat="1">
      <c r="A2775" s="5" t="s">
        <v>3026</v>
      </c>
      <c r="B2775" s="2" t="s">
        <v>1407</v>
      </c>
      <c r="E2775" s="20"/>
      <c r="G2775" s="32"/>
      <c r="H2775" s="32"/>
    </row>
    <row r="2776" spans="1:8" s="2" customFormat="1">
      <c r="A2776" s="5"/>
      <c r="E2776" s="20"/>
      <c r="G2776" s="32"/>
      <c r="H2776" s="32"/>
    </row>
    <row r="2777" spans="1:8" s="2" customFormat="1">
      <c r="A2777" s="5" t="s">
        <v>2407</v>
      </c>
      <c r="B2777" s="2" t="s">
        <v>1026</v>
      </c>
      <c r="C2777" s="2" t="s">
        <v>1027</v>
      </c>
      <c r="D2777" s="2">
        <v>110000</v>
      </c>
      <c r="E2777" s="20" t="s">
        <v>3026</v>
      </c>
      <c r="F2777" s="2">
        <v>610110</v>
      </c>
      <c r="G2777" s="37">
        <f>72000+2160</f>
        <v>74160</v>
      </c>
      <c r="H2777" s="37">
        <f>72000+2160</f>
        <v>74160</v>
      </c>
    </row>
    <row r="2778" spans="1:8" s="2" customFormat="1">
      <c r="A2778" s="5" t="s">
        <v>2408</v>
      </c>
      <c r="B2778" s="2" t="s">
        <v>2463</v>
      </c>
      <c r="C2778" s="2" t="s">
        <v>2490</v>
      </c>
      <c r="D2778" s="2">
        <v>110000</v>
      </c>
      <c r="E2778" s="20" t="s">
        <v>3026</v>
      </c>
      <c r="F2778" s="2">
        <v>610110</v>
      </c>
      <c r="G2778" s="32">
        <f>57880+1736</f>
        <v>59616</v>
      </c>
      <c r="H2778" s="32">
        <f>57880+1736</f>
        <v>59616</v>
      </c>
    </row>
    <row r="2779" spans="1:8" s="2" customFormat="1">
      <c r="A2779" s="5" t="s">
        <v>2409</v>
      </c>
      <c r="B2779" s="2" t="s">
        <v>2079</v>
      </c>
      <c r="C2779" s="2" t="s">
        <v>762</v>
      </c>
      <c r="D2779" s="2">
        <v>110000</v>
      </c>
      <c r="E2779" s="20" t="s">
        <v>3026</v>
      </c>
      <c r="F2779" s="2">
        <v>610110</v>
      </c>
      <c r="G2779" s="32">
        <f>45246+1357</f>
        <v>46603</v>
      </c>
      <c r="H2779" s="32">
        <f>45246+1357</f>
        <v>46603</v>
      </c>
    </row>
    <row r="2780" spans="1:8" s="2" customFormat="1">
      <c r="A2780" s="5" t="s">
        <v>2410</v>
      </c>
      <c r="B2780" s="2" t="s">
        <v>2462</v>
      </c>
      <c r="C2780" s="2" t="s">
        <v>762</v>
      </c>
      <c r="D2780" s="2">
        <v>110000</v>
      </c>
      <c r="E2780" s="20" t="s">
        <v>3026</v>
      </c>
      <c r="F2780" s="2">
        <v>610110</v>
      </c>
      <c r="G2780" s="32">
        <f>48304+1449</f>
        <v>49753</v>
      </c>
      <c r="H2780" s="32">
        <f>48304+1449</f>
        <v>49753</v>
      </c>
    </row>
    <row r="2781" spans="1:8" s="2" customFormat="1">
      <c r="A2781" s="5" t="s">
        <v>2411</v>
      </c>
      <c r="B2781" s="2" t="s">
        <v>2464</v>
      </c>
      <c r="C2781" s="2" t="s">
        <v>762</v>
      </c>
      <c r="D2781" s="2">
        <v>110000</v>
      </c>
      <c r="E2781" s="20" t="s">
        <v>3026</v>
      </c>
      <c r="F2781" s="2">
        <v>610110</v>
      </c>
      <c r="G2781" s="32">
        <f>40059+1202</f>
        <v>41261</v>
      </c>
      <c r="H2781" s="32">
        <f>40059+1202</f>
        <v>41261</v>
      </c>
    </row>
    <row r="2782" spans="1:8" s="2" customFormat="1">
      <c r="A2782" s="6" t="s">
        <v>2412</v>
      </c>
      <c r="B2782" s="2" t="s">
        <v>2465</v>
      </c>
      <c r="C2782" s="2" t="s">
        <v>762</v>
      </c>
      <c r="D2782" s="2">
        <v>110000</v>
      </c>
      <c r="E2782" s="20" t="s">
        <v>3026</v>
      </c>
      <c r="F2782" s="2">
        <v>610110</v>
      </c>
      <c r="G2782" s="32">
        <f>31659+1266</f>
        <v>32925</v>
      </c>
      <c r="H2782" s="32">
        <f>31659+1266</f>
        <v>32925</v>
      </c>
    </row>
    <row r="2783" spans="1:8" s="2" customFormat="1">
      <c r="A2783" s="5" t="s">
        <v>2413</v>
      </c>
      <c r="B2783" s="2" t="s">
        <v>2466</v>
      </c>
      <c r="C2783" s="2" t="s">
        <v>1608</v>
      </c>
      <c r="D2783" s="2">
        <v>110000</v>
      </c>
      <c r="E2783" s="20" t="s">
        <v>3026</v>
      </c>
      <c r="F2783" s="2">
        <v>610210</v>
      </c>
      <c r="G2783" s="32">
        <f>32032+961</f>
        <v>32993</v>
      </c>
      <c r="H2783" s="32">
        <f>32032+961</f>
        <v>32993</v>
      </c>
    </row>
    <row r="2784" spans="1:8" s="2" customFormat="1">
      <c r="A2784" s="5" t="s">
        <v>2414</v>
      </c>
      <c r="B2784" s="2" t="s">
        <v>2467</v>
      </c>
      <c r="C2784" s="2" t="s">
        <v>763</v>
      </c>
      <c r="D2784" s="2">
        <v>110000</v>
      </c>
      <c r="E2784" s="20" t="s">
        <v>3026</v>
      </c>
      <c r="F2784" s="2">
        <v>610210</v>
      </c>
      <c r="G2784" s="32">
        <f>20000+600</f>
        <v>20600</v>
      </c>
      <c r="H2784" s="32">
        <f>20000+600</f>
        <v>20600</v>
      </c>
    </row>
    <row r="2785" spans="1:8" s="2" customFormat="1">
      <c r="A2785" s="5" t="s">
        <v>1984</v>
      </c>
      <c r="B2785" s="2" t="s">
        <v>945</v>
      </c>
      <c r="C2785" s="2" t="s">
        <v>1608</v>
      </c>
      <c r="D2785" s="2">
        <v>110000</v>
      </c>
      <c r="E2785" s="20" t="s">
        <v>3026</v>
      </c>
      <c r="F2785" s="2">
        <v>610210</v>
      </c>
      <c r="G2785" s="32">
        <v>20000</v>
      </c>
      <c r="H2785" s="32">
        <v>20000</v>
      </c>
    </row>
    <row r="2786" spans="1:8" s="2" customFormat="1">
      <c r="A2786" s="5" t="s">
        <v>1985</v>
      </c>
      <c r="B2786" s="2" t="s">
        <v>2468</v>
      </c>
      <c r="C2786" s="2" t="s">
        <v>2469</v>
      </c>
      <c r="D2786" s="2">
        <v>110000</v>
      </c>
      <c r="E2786" s="20" t="s">
        <v>3026</v>
      </c>
      <c r="F2786" s="2">
        <v>610210</v>
      </c>
      <c r="G2786" s="32">
        <f>37567+1127</f>
        <v>38694</v>
      </c>
      <c r="H2786" s="32">
        <f>37567+1127</f>
        <v>38694</v>
      </c>
    </row>
    <row r="2787" spans="1:8" s="2" customFormat="1">
      <c r="A2787" s="5" t="s">
        <v>1986</v>
      </c>
      <c r="C2787" s="2" t="s">
        <v>1552</v>
      </c>
      <c r="D2787" s="2">
        <v>110000</v>
      </c>
      <c r="E2787" s="20" t="s">
        <v>3026</v>
      </c>
      <c r="F2787" s="2">
        <v>610410</v>
      </c>
      <c r="G2787" s="32">
        <f>16832+471</f>
        <v>17303</v>
      </c>
      <c r="H2787" s="32">
        <f>16832+471</f>
        <v>17303</v>
      </c>
    </row>
    <row r="2788" spans="1:8" s="2" customFormat="1">
      <c r="A2788" s="5" t="s">
        <v>1987</v>
      </c>
      <c r="B2788" s="2" t="s">
        <v>1553</v>
      </c>
      <c r="C2788" s="2" t="s">
        <v>46</v>
      </c>
      <c r="D2788" s="2">
        <v>110000</v>
      </c>
      <c r="E2788" s="20" t="s">
        <v>3026</v>
      </c>
      <c r="F2788" s="2">
        <v>610410</v>
      </c>
      <c r="G2788" s="32">
        <f>23464+657</f>
        <v>24121</v>
      </c>
      <c r="H2788" s="32">
        <f>23464+657</f>
        <v>24121</v>
      </c>
    </row>
    <row r="2789" spans="1:8" s="2" customFormat="1">
      <c r="A2789" s="5" t="s">
        <v>1988</v>
      </c>
      <c r="B2789" s="2" t="s">
        <v>1521</v>
      </c>
      <c r="C2789" s="2" t="s">
        <v>2485</v>
      </c>
      <c r="D2789" s="2">
        <v>110000</v>
      </c>
      <c r="E2789" s="20" t="s">
        <v>3026</v>
      </c>
      <c r="F2789" s="2">
        <v>610410</v>
      </c>
      <c r="G2789" s="32">
        <f>17401+487</f>
        <v>17888</v>
      </c>
      <c r="H2789" s="32">
        <f>17401+487</f>
        <v>17888</v>
      </c>
    </row>
    <row r="2790" spans="1:8" s="2" customFormat="1">
      <c r="A2790" s="5" t="s">
        <v>1989</v>
      </c>
      <c r="B2790" s="2" t="s">
        <v>2858</v>
      </c>
      <c r="C2790" s="2" t="s">
        <v>2485</v>
      </c>
      <c r="D2790" s="2">
        <v>110000</v>
      </c>
      <c r="E2790" s="20" t="s">
        <v>3026</v>
      </c>
      <c r="F2790" s="2">
        <v>610410</v>
      </c>
      <c r="G2790" s="32">
        <f>15888+445</f>
        <v>16333</v>
      </c>
      <c r="H2790" s="32">
        <f>15888+445</f>
        <v>16333</v>
      </c>
    </row>
    <row r="2791" spans="1:8" s="2" customFormat="1">
      <c r="A2791" s="5" t="s">
        <v>1990</v>
      </c>
      <c r="B2791" s="2" t="s">
        <v>1554</v>
      </c>
      <c r="C2791" s="2" t="s">
        <v>2485</v>
      </c>
      <c r="D2791" s="2">
        <v>110000</v>
      </c>
      <c r="E2791" s="20" t="s">
        <v>3026</v>
      </c>
      <c r="F2791" s="2">
        <v>610410</v>
      </c>
      <c r="G2791" s="32">
        <f>16192+453</f>
        <v>16645</v>
      </c>
      <c r="H2791" s="32">
        <f>16192+453</f>
        <v>16645</v>
      </c>
    </row>
    <row r="2792" spans="1:8" s="2" customFormat="1">
      <c r="A2792" s="5"/>
      <c r="C2792" s="2" t="s">
        <v>1611</v>
      </c>
      <c r="D2792" s="2">
        <v>110000</v>
      </c>
      <c r="E2792" s="20" t="s">
        <v>3026</v>
      </c>
      <c r="F2792" s="2">
        <v>620000</v>
      </c>
      <c r="G2792" s="32">
        <v>34385</v>
      </c>
      <c r="H2792" s="32">
        <v>34385</v>
      </c>
    </row>
    <row r="2793" spans="1:8" s="2" customFormat="1">
      <c r="A2793" s="5"/>
      <c r="C2793" s="2" t="s">
        <v>2063</v>
      </c>
      <c r="D2793" s="2">
        <v>110000</v>
      </c>
      <c r="E2793" s="20" t="s">
        <v>3026</v>
      </c>
      <c r="F2793" s="2">
        <v>610110</v>
      </c>
      <c r="G2793" s="32">
        <v>22248</v>
      </c>
      <c r="H2793" s="32">
        <v>22248</v>
      </c>
    </row>
    <row r="2794" spans="1:8" s="2" customFormat="1">
      <c r="A2794" s="5"/>
      <c r="C2794" s="2" t="s">
        <v>2951</v>
      </c>
      <c r="D2794" s="2">
        <v>110000</v>
      </c>
      <c r="E2794" s="20" t="s">
        <v>3026</v>
      </c>
      <c r="F2794" s="2">
        <v>630000</v>
      </c>
      <c r="G2794" s="32">
        <f>SUM(G2777:G2791)*0.21+G2792*0.08+G2793*0.18</f>
        <v>113623.39</v>
      </c>
      <c r="H2794" s="32">
        <f>SUM(H2777:H2791)*0.21+H2792*0.08+H2793*0.18</f>
        <v>113623.39</v>
      </c>
    </row>
    <row r="2795" spans="1:8" s="2" customFormat="1">
      <c r="A2795" s="5"/>
      <c r="C2795" s="8" t="s">
        <v>1129</v>
      </c>
      <c r="E2795" s="20"/>
      <c r="G2795" s="32">
        <f>SUM(G2777:G2794)</f>
        <v>679151.39</v>
      </c>
      <c r="H2795" s="32">
        <f>SUM(H2777:H2794)</f>
        <v>679151.39</v>
      </c>
    </row>
    <row r="2796" spans="1:8" s="2" customFormat="1">
      <c r="A2796" s="5"/>
      <c r="C2796" s="2" t="s">
        <v>2234</v>
      </c>
      <c r="D2796" s="2">
        <v>110000</v>
      </c>
      <c r="E2796" s="20" t="s">
        <v>3026</v>
      </c>
      <c r="F2796" s="2">
        <v>710000</v>
      </c>
      <c r="G2796" s="32">
        <v>8708</v>
      </c>
      <c r="H2796" s="32">
        <v>8708</v>
      </c>
    </row>
    <row r="2797" spans="1:8" s="2" customFormat="1">
      <c r="A2797" s="5"/>
      <c r="C2797" s="2" t="s">
        <v>1577</v>
      </c>
      <c r="D2797" s="2">
        <v>110000</v>
      </c>
      <c r="E2797" s="20" t="s">
        <v>3026</v>
      </c>
      <c r="F2797" s="2">
        <v>710000</v>
      </c>
      <c r="G2797" s="32">
        <v>13475</v>
      </c>
      <c r="H2797" s="32">
        <v>13475</v>
      </c>
    </row>
    <row r="2798" spans="1:8" s="2" customFormat="1">
      <c r="A2798" s="5"/>
      <c r="C2798" s="8" t="s">
        <v>2235</v>
      </c>
      <c r="E2798" s="20"/>
      <c r="G2798" s="32">
        <f>SUM(G2795:G2797)</f>
        <v>701334.39</v>
      </c>
      <c r="H2798" s="32">
        <f>SUM(H2795:H2797)</f>
        <v>701334.39</v>
      </c>
    </row>
    <row r="2799" spans="1:8" s="2" customFormat="1">
      <c r="A2799" s="5"/>
      <c r="E2799" s="20"/>
      <c r="G2799" s="32"/>
      <c r="H2799" s="32"/>
    </row>
    <row r="2800" spans="1:8" s="2" customFormat="1">
      <c r="A2800" s="5" t="s">
        <v>3026</v>
      </c>
      <c r="B2800" s="2" t="s">
        <v>1578</v>
      </c>
      <c r="E2800" s="20"/>
      <c r="G2800" s="32"/>
      <c r="H2800" s="32"/>
    </row>
    <row r="2801" spans="1:8" s="2" customFormat="1">
      <c r="A2801" s="5"/>
      <c r="E2801" s="20"/>
      <c r="G2801" s="32"/>
      <c r="H2801" s="32"/>
    </row>
    <row r="2802" spans="1:8" s="2" customFormat="1">
      <c r="A2802" s="5"/>
      <c r="C2802" s="2" t="s">
        <v>2234</v>
      </c>
      <c r="D2802" s="2">
        <v>110000</v>
      </c>
      <c r="E2802" s="20" t="s">
        <v>3026</v>
      </c>
      <c r="F2802" s="2">
        <v>710000</v>
      </c>
      <c r="G2802" s="32">
        <v>31116</v>
      </c>
      <c r="H2802" s="32">
        <v>31116</v>
      </c>
    </row>
    <row r="2803" spans="1:8" s="2" customFormat="1">
      <c r="A2803" s="5"/>
      <c r="C2803" s="8" t="s">
        <v>2235</v>
      </c>
      <c r="E2803" s="20"/>
      <c r="G2803" s="32">
        <f>G2802</f>
        <v>31116</v>
      </c>
      <c r="H2803" s="32">
        <f>H2802</f>
        <v>31116</v>
      </c>
    </row>
    <row r="2804" spans="1:8" s="2" customFormat="1">
      <c r="A2804" s="5"/>
      <c r="E2804" s="20"/>
      <c r="G2804" s="32"/>
      <c r="H2804" s="32"/>
    </row>
    <row r="2805" spans="1:8" s="2" customFormat="1">
      <c r="A2805" s="5" t="s">
        <v>3036</v>
      </c>
      <c r="B2805" s="2" t="s">
        <v>1579</v>
      </c>
      <c r="E2805" s="20"/>
      <c r="G2805" s="32"/>
      <c r="H2805" s="32"/>
    </row>
    <row r="2806" spans="1:8" s="2" customFormat="1">
      <c r="A2806" s="5"/>
      <c r="E2806" s="20"/>
      <c r="G2806" s="32"/>
      <c r="H2806" s="32"/>
    </row>
    <row r="2807" spans="1:8" s="2" customFormat="1">
      <c r="A2807" s="5"/>
      <c r="C2807" s="2" t="s">
        <v>2234</v>
      </c>
      <c r="D2807" s="2">
        <v>110000</v>
      </c>
      <c r="E2807" s="20" t="s">
        <v>3036</v>
      </c>
      <c r="F2807" s="2">
        <v>710000</v>
      </c>
      <c r="G2807" s="32">
        <v>22012</v>
      </c>
      <c r="H2807" s="32">
        <v>22012</v>
      </c>
    </row>
    <row r="2808" spans="1:8" s="2" customFormat="1">
      <c r="A2808" s="5"/>
      <c r="C2808" s="8" t="s">
        <v>2235</v>
      </c>
      <c r="E2808" s="20"/>
      <c r="G2808" s="32">
        <f>G2807</f>
        <v>22012</v>
      </c>
      <c r="H2808" s="32">
        <f>H2807</f>
        <v>22012</v>
      </c>
    </row>
    <row r="2809" spans="1:8" s="2" customFormat="1">
      <c r="A2809" s="5"/>
      <c r="E2809" s="20"/>
      <c r="G2809" s="32"/>
      <c r="H2809" s="32"/>
    </row>
    <row r="2810" spans="1:8" s="2" customFormat="1">
      <c r="A2810" s="5" t="s">
        <v>2943</v>
      </c>
      <c r="B2810" s="2" t="s">
        <v>1478</v>
      </c>
      <c r="G2810" s="32"/>
      <c r="H2810" s="32"/>
    </row>
    <row r="2811" spans="1:8" s="2" customFormat="1">
      <c r="A2811" s="5"/>
      <c r="G2811" s="32"/>
      <c r="H2811" s="32"/>
    </row>
    <row r="2812" spans="1:8" s="2" customFormat="1">
      <c r="A2812" s="6"/>
      <c r="C2812" s="2" t="s">
        <v>1479</v>
      </c>
      <c r="D2812" s="2">
        <v>110000</v>
      </c>
      <c r="E2812" s="2">
        <v>670000</v>
      </c>
      <c r="F2812" s="2">
        <v>610110</v>
      </c>
      <c r="G2812" s="32">
        <v>60000</v>
      </c>
      <c r="H2812" s="32">
        <v>60000</v>
      </c>
    </row>
    <row r="2813" spans="1:8" s="2" customFormat="1">
      <c r="A2813" s="6"/>
      <c r="C2813" s="2" t="s">
        <v>1480</v>
      </c>
      <c r="D2813" s="2">
        <v>110000</v>
      </c>
      <c r="E2813" s="2">
        <v>670000</v>
      </c>
      <c r="F2813" s="2">
        <v>610110</v>
      </c>
      <c r="G2813" s="32">
        <v>165000</v>
      </c>
      <c r="H2813" s="32">
        <v>165000</v>
      </c>
    </row>
    <row r="2814" spans="1:8" s="2" customFormat="1">
      <c r="A2814" s="6"/>
      <c r="C2814" s="2" t="s">
        <v>1023</v>
      </c>
      <c r="D2814" s="2">
        <v>110000</v>
      </c>
      <c r="E2814" s="2">
        <v>670000</v>
      </c>
      <c r="F2814" s="2">
        <v>610410</v>
      </c>
      <c r="G2814" s="32">
        <v>17081</v>
      </c>
      <c r="H2814" s="32">
        <v>17081</v>
      </c>
    </row>
    <row r="2815" spans="1:8" s="2" customFormat="1">
      <c r="A2815" s="6"/>
      <c r="C2815" s="2" t="s">
        <v>1611</v>
      </c>
      <c r="D2815" s="2">
        <v>110000</v>
      </c>
      <c r="E2815" s="2">
        <v>670000</v>
      </c>
      <c r="F2815" s="2">
        <v>620000</v>
      </c>
      <c r="G2815" s="32"/>
      <c r="H2815" s="32"/>
    </row>
    <row r="2816" spans="1:8" s="2" customFormat="1">
      <c r="A2816" s="6"/>
      <c r="C2816" s="2" t="s">
        <v>2950</v>
      </c>
      <c r="D2816" s="2">
        <v>110000</v>
      </c>
      <c r="E2816" s="2">
        <v>670000</v>
      </c>
      <c r="F2816" s="2">
        <v>610000</v>
      </c>
      <c r="G2816" s="32"/>
      <c r="H2816" s="32"/>
    </row>
    <row r="2817" spans="1:8" s="2" customFormat="1">
      <c r="A2817" s="6"/>
      <c r="C2817" s="2" t="s">
        <v>2951</v>
      </c>
      <c r="D2817" s="2">
        <v>110000</v>
      </c>
      <c r="E2817" s="2">
        <v>670000</v>
      </c>
      <c r="F2817" s="2">
        <v>630000</v>
      </c>
      <c r="G2817" s="32">
        <f>SUM(G2812:G2816)*0.2</f>
        <v>48416.200000000004</v>
      </c>
      <c r="H2817" s="32">
        <f>SUM(H2812:H2816)*0.2</f>
        <v>48416.200000000004</v>
      </c>
    </row>
    <row r="2818" spans="1:8" s="2" customFormat="1">
      <c r="A2818" s="6"/>
      <c r="C2818" s="8" t="s">
        <v>1129</v>
      </c>
      <c r="G2818" s="32">
        <f>SUM(G2812:G2817)</f>
        <v>290497.2</v>
      </c>
      <c r="H2818" s="32">
        <f>SUM(H2812:H2817)</f>
        <v>290497.2</v>
      </c>
    </row>
    <row r="2819" spans="1:8" s="2" customFormat="1">
      <c r="A2819" s="6"/>
      <c r="C2819" s="2" t="s">
        <v>2234</v>
      </c>
      <c r="D2819" s="2">
        <v>110000</v>
      </c>
      <c r="E2819" s="2">
        <v>670000</v>
      </c>
      <c r="F2819" s="2">
        <v>710000</v>
      </c>
      <c r="G2819" s="32">
        <v>25000</v>
      </c>
      <c r="H2819" s="32">
        <v>25000</v>
      </c>
    </row>
    <row r="2820" spans="1:8" s="2" customFormat="1">
      <c r="A2820" s="6"/>
      <c r="C2820" s="2" t="s">
        <v>1481</v>
      </c>
      <c r="G2820" s="32">
        <v>60000</v>
      </c>
      <c r="H2820" s="32">
        <v>60000</v>
      </c>
    </row>
    <row r="2821" spans="1:8" s="2" customFormat="1">
      <c r="A2821" s="6"/>
      <c r="C2821" s="2" t="s">
        <v>1482</v>
      </c>
      <c r="G2821" s="32">
        <v>60000</v>
      </c>
      <c r="H2821" s="32">
        <v>60000</v>
      </c>
    </row>
    <row r="2822" spans="1:8" s="2" customFormat="1">
      <c r="A2822" s="6"/>
      <c r="C2822" s="2" t="s">
        <v>1483</v>
      </c>
      <c r="G2822" s="32">
        <v>50000</v>
      </c>
      <c r="H2822" s="32">
        <v>50000</v>
      </c>
    </row>
    <row r="2823" spans="1:8" s="2" customFormat="1">
      <c r="A2823" s="6"/>
      <c r="C2823" s="8" t="s">
        <v>2235</v>
      </c>
      <c r="G2823" s="32">
        <f>SUM(G2818:G2822)</f>
        <v>485497.2</v>
      </c>
      <c r="H2823" s="32">
        <f>SUM(H2818:H2822)</f>
        <v>485497.2</v>
      </c>
    </row>
    <row r="2824" spans="1:8" s="2" customFormat="1">
      <c r="D2824" s="26"/>
      <c r="G2824" s="32"/>
      <c r="H2824" s="32"/>
    </row>
    <row r="2825" spans="1:8" s="2" customFormat="1">
      <c r="A2825" s="5" t="s">
        <v>966</v>
      </c>
      <c r="B2825" s="2" t="s">
        <v>1470</v>
      </c>
      <c r="E2825" s="20"/>
      <c r="G2825" s="32"/>
      <c r="H2825" s="32"/>
    </row>
    <row r="2826" spans="1:8" s="2" customFormat="1">
      <c r="A2826" s="5"/>
      <c r="E2826" s="20"/>
      <c r="G2826" s="32"/>
      <c r="H2826" s="32"/>
    </row>
    <row r="2827" spans="1:8" s="2" customFormat="1">
      <c r="A2827" s="5"/>
      <c r="C2827" s="2" t="s">
        <v>1473</v>
      </c>
      <c r="D2827" s="2">
        <v>110000</v>
      </c>
      <c r="E2827" s="20" t="s">
        <v>966</v>
      </c>
      <c r="F2827" s="2">
        <v>610110</v>
      </c>
      <c r="G2827" s="32">
        <v>140000</v>
      </c>
      <c r="H2827" s="32">
        <v>140000</v>
      </c>
    </row>
    <row r="2828" spans="1:8" s="2" customFormat="1">
      <c r="A2828" s="5"/>
      <c r="C2828" s="2" t="s">
        <v>1474</v>
      </c>
      <c r="D2828" s="2">
        <v>110000</v>
      </c>
      <c r="E2828" s="20" t="s">
        <v>966</v>
      </c>
      <c r="F2828" s="2">
        <v>610110</v>
      </c>
      <c r="G2828" s="32">
        <v>60000</v>
      </c>
      <c r="H2828" s="32">
        <v>60000</v>
      </c>
    </row>
    <row r="2829" spans="1:8" s="2" customFormat="1">
      <c r="A2829" s="5"/>
      <c r="C2829" s="2" t="s">
        <v>1061</v>
      </c>
      <c r="D2829" s="2">
        <v>110000</v>
      </c>
      <c r="E2829" s="20" t="s">
        <v>966</v>
      </c>
      <c r="F2829" s="2">
        <v>610410</v>
      </c>
      <c r="G2829" s="32">
        <v>20466</v>
      </c>
      <c r="H2829" s="32">
        <v>20466</v>
      </c>
    </row>
    <row r="2830" spans="1:8" s="2" customFormat="1">
      <c r="A2830" s="5"/>
      <c r="C2830" s="2" t="s">
        <v>1023</v>
      </c>
      <c r="D2830" s="2">
        <v>110000</v>
      </c>
      <c r="E2830" s="20" t="s">
        <v>966</v>
      </c>
      <c r="F2830" s="2">
        <v>610410</v>
      </c>
      <c r="G2830" s="32">
        <v>17081</v>
      </c>
      <c r="H2830" s="32">
        <v>17081</v>
      </c>
    </row>
    <row r="2831" spans="1:8" s="2" customFormat="1">
      <c r="A2831" s="5"/>
      <c r="C2831" s="2" t="s">
        <v>1611</v>
      </c>
      <c r="D2831" s="2">
        <v>110000</v>
      </c>
      <c r="E2831" s="20" t="s">
        <v>966</v>
      </c>
      <c r="F2831" s="2">
        <v>620000</v>
      </c>
      <c r="G2831" s="32"/>
      <c r="H2831" s="32"/>
    </row>
    <row r="2832" spans="1:8" s="2" customFormat="1">
      <c r="A2832" s="5"/>
      <c r="C2832" s="2" t="s">
        <v>2950</v>
      </c>
      <c r="D2832" s="2">
        <v>110000</v>
      </c>
      <c r="E2832" s="20" t="s">
        <v>966</v>
      </c>
      <c r="F2832" s="2">
        <v>610000</v>
      </c>
      <c r="G2832" s="37">
        <f>114387+1</f>
        <v>114388</v>
      </c>
      <c r="H2832" s="37">
        <f>114387+1</f>
        <v>114388</v>
      </c>
    </row>
    <row r="2833" spans="1:8" s="2" customFormat="1">
      <c r="A2833" s="5"/>
      <c r="C2833" s="2" t="s">
        <v>2951</v>
      </c>
      <c r="D2833" s="2">
        <v>110000</v>
      </c>
      <c r="E2833" s="20" t="s">
        <v>966</v>
      </c>
      <c r="F2833" s="2">
        <v>630000</v>
      </c>
      <c r="G2833" s="32">
        <f>(SUM(G2827:G2832))*0.2-22878</f>
        <v>47509</v>
      </c>
      <c r="H2833" s="32">
        <f>(SUM(H2827:H2832))*0.2-22878</f>
        <v>47509</v>
      </c>
    </row>
    <row r="2834" spans="1:8" s="2" customFormat="1">
      <c r="A2834" s="5"/>
      <c r="C2834" s="8" t="s">
        <v>1129</v>
      </c>
      <c r="E2834" s="20"/>
      <c r="G2834" s="32">
        <f>SUM(G2827:G2833)</f>
        <v>399444</v>
      </c>
      <c r="H2834" s="32">
        <f>SUM(H2827:H2833)</f>
        <v>399444</v>
      </c>
    </row>
    <row r="2835" spans="1:8" s="2" customFormat="1">
      <c r="A2835" s="5"/>
      <c r="C2835" s="2" t="s">
        <v>2234</v>
      </c>
      <c r="D2835" s="2">
        <v>110000</v>
      </c>
      <c r="E2835" s="20" t="s">
        <v>966</v>
      </c>
      <c r="F2835" s="2">
        <v>710000</v>
      </c>
      <c r="G2835" s="32">
        <v>36000</v>
      </c>
      <c r="H2835" s="32">
        <v>36000</v>
      </c>
    </row>
    <row r="2836" spans="1:8" s="2" customFormat="1">
      <c r="A2836" s="5"/>
      <c r="C2836" s="2" t="s">
        <v>1475</v>
      </c>
      <c r="D2836" s="2">
        <v>110000</v>
      </c>
      <c r="E2836" s="20" t="s">
        <v>966</v>
      </c>
      <c r="F2836" s="2">
        <v>820000</v>
      </c>
      <c r="G2836" s="32">
        <v>150000</v>
      </c>
      <c r="H2836" s="32">
        <v>150000</v>
      </c>
    </row>
    <row r="2837" spans="1:8" s="2" customFormat="1">
      <c r="A2837" s="5"/>
      <c r="C2837" s="2" t="s">
        <v>1476</v>
      </c>
      <c r="D2837" s="2">
        <v>110000</v>
      </c>
      <c r="E2837" s="20" t="s">
        <v>966</v>
      </c>
      <c r="F2837" s="2">
        <v>820000</v>
      </c>
      <c r="G2837" s="32">
        <v>150000</v>
      </c>
      <c r="H2837" s="32">
        <v>150000</v>
      </c>
    </row>
    <row r="2838" spans="1:8" s="2" customFormat="1">
      <c r="A2838" s="5"/>
      <c r="C2838" s="2" t="s">
        <v>3222</v>
      </c>
      <c r="D2838" s="2">
        <v>110000</v>
      </c>
      <c r="E2838" s="20" t="s">
        <v>966</v>
      </c>
      <c r="F2838" s="2">
        <v>710000</v>
      </c>
      <c r="G2838" s="32">
        <v>100000</v>
      </c>
      <c r="H2838" s="32">
        <v>100000</v>
      </c>
    </row>
    <row r="2839" spans="1:8" s="2" customFormat="1">
      <c r="A2839" s="5"/>
      <c r="C2839" s="2" t="s">
        <v>1477</v>
      </c>
      <c r="D2839" s="2">
        <v>110000</v>
      </c>
      <c r="E2839" s="20" t="s">
        <v>966</v>
      </c>
      <c r="F2839" s="2">
        <v>710000</v>
      </c>
      <c r="G2839" s="32">
        <v>22500</v>
      </c>
      <c r="H2839" s="32">
        <v>22500</v>
      </c>
    </row>
    <row r="2840" spans="1:8" s="2" customFormat="1">
      <c r="A2840" s="5"/>
      <c r="C2840" s="2" t="s">
        <v>322</v>
      </c>
      <c r="D2840" s="2">
        <v>110000</v>
      </c>
      <c r="E2840" s="20" t="s">
        <v>966</v>
      </c>
      <c r="F2840" s="2">
        <v>710000</v>
      </c>
      <c r="G2840" s="32">
        <v>200000</v>
      </c>
      <c r="H2840" s="32">
        <v>200000</v>
      </c>
    </row>
    <row r="2841" spans="1:8" s="2" customFormat="1">
      <c r="A2841" s="5"/>
      <c r="C2841" s="8" t="s">
        <v>2235</v>
      </c>
      <c r="E2841" s="20"/>
      <c r="G2841" s="32">
        <f>SUM(G2834:G2840)</f>
        <v>1057944</v>
      </c>
      <c r="H2841" s="32">
        <f>SUM(H2834:H2840)</f>
        <v>1057944</v>
      </c>
    </row>
    <row r="2842" spans="1:8" s="2" customFormat="1">
      <c r="A2842" s="5"/>
      <c r="E2842" s="20"/>
      <c r="G2842" s="32"/>
      <c r="H2842" s="32"/>
    </row>
    <row r="2843" spans="1:8" s="2" customFormat="1">
      <c r="A2843" s="5" t="s">
        <v>2538</v>
      </c>
      <c r="B2843" s="2" t="s">
        <v>2114</v>
      </c>
      <c r="G2843" s="32"/>
      <c r="H2843" s="32"/>
    </row>
    <row r="2844" spans="1:8" s="2" customFormat="1">
      <c r="A2844" s="5"/>
      <c r="G2844" s="32"/>
      <c r="H2844" s="32"/>
    </row>
    <row r="2845" spans="1:8" s="2" customFormat="1">
      <c r="A2845" s="6" t="s">
        <v>668</v>
      </c>
      <c r="B2845" s="2" t="s">
        <v>2115</v>
      </c>
      <c r="C2845" s="2" t="s">
        <v>1604</v>
      </c>
      <c r="D2845" s="2">
        <v>110000</v>
      </c>
      <c r="E2845" s="2">
        <v>670210</v>
      </c>
      <c r="F2845" s="2">
        <v>610110</v>
      </c>
      <c r="G2845" s="32">
        <f>88529+1985</f>
        <v>90514</v>
      </c>
      <c r="H2845" s="32">
        <f>88529+1985</f>
        <v>90514</v>
      </c>
    </row>
    <row r="2846" spans="1:8" s="2" customFormat="1">
      <c r="A2846" s="6" t="s">
        <v>669</v>
      </c>
      <c r="B2846" s="2" t="s">
        <v>2116</v>
      </c>
      <c r="C2846" s="2" t="s">
        <v>2490</v>
      </c>
      <c r="D2846" s="2">
        <v>110000</v>
      </c>
      <c r="E2846" s="2">
        <v>670210</v>
      </c>
      <c r="F2846" s="2">
        <v>610110</v>
      </c>
      <c r="G2846" s="32">
        <f>60455+1814</f>
        <v>62269</v>
      </c>
      <c r="H2846" s="32">
        <f>60455+1814</f>
        <v>62269</v>
      </c>
    </row>
    <row r="2847" spans="1:8" s="2" customFormat="1">
      <c r="A2847" s="6" t="s">
        <v>670</v>
      </c>
      <c r="B2847" s="2" t="s">
        <v>2117</v>
      </c>
      <c r="C2847" s="2" t="s">
        <v>2490</v>
      </c>
      <c r="D2847" s="2">
        <v>110000</v>
      </c>
      <c r="E2847" s="2">
        <v>670210</v>
      </c>
      <c r="F2847" s="2">
        <v>610110</v>
      </c>
      <c r="G2847" s="32">
        <f>57538+1611</f>
        <v>59149</v>
      </c>
      <c r="H2847" s="32">
        <f>57538+1611</f>
        <v>59149</v>
      </c>
    </row>
    <row r="2848" spans="1:8" s="2" customFormat="1">
      <c r="A2848" s="6"/>
      <c r="G2848" s="32">
        <v>2877</v>
      </c>
      <c r="H2848" s="32"/>
    </row>
    <row r="2849" spans="1:8" s="2" customFormat="1">
      <c r="A2849" s="6"/>
      <c r="E2849" s="2" t="s">
        <v>2880</v>
      </c>
      <c r="G2849" s="32">
        <f>SUM(G2847:G2848)</f>
        <v>62026</v>
      </c>
      <c r="H2849" s="32">
        <f>SUM(H2847:H2848)</f>
        <v>59149</v>
      </c>
    </row>
    <row r="2850" spans="1:8" s="2" customFormat="1">
      <c r="A2850" s="6" t="s">
        <v>671</v>
      </c>
      <c r="B2850" s="2" t="s">
        <v>2118</v>
      </c>
      <c r="C2850" s="2" t="s">
        <v>544</v>
      </c>
      <c r="D2850" s="2">
        <v>110000</v>
      </c>
      <c r="E2850" s="2">
        <v>670210</v>
      </c>
      <c r="F2850" s="2">
        <v>610110</v>
      </c>
      <c r="G2850" s="32">
        <f>59226+1671</f>
        <v>60897</v>
      </c>
      <c r="H2850" s="32">
        <f>59226+1671</f>
        <v>60897</v>
      </c>
    </row>
    <row r="2851" spans="1:8" s="2" customFormat="1">
      <c r="A2851" s="6" t="s">
        <v>672</v>
      </c>
      <c r="B2851" s="2" t="s">
        <v>2119</v>
      </c>
      <c r="C2851" s="2" t="s">
        <v>2490</v>
      </c>
      <c r="D2851" s="2">
        <v>110000</v>
      </c>
      <c r="E2851" s="2">
        <v>670210</v>
      </c>
      <c r="F2851" s="2">
        <v>610110</v>
      </c>
      <c r="G2851" s="32">
        <f>55777+1500+1880</f>
        <v>59157</v>
      </c>
      <c r="H2851" s="32">
        <f>55777+1500+1880</f>
        <v>59157</v>
      </c>
    </row>
    <row r="2852" spans="1:8" s="2" customFormat="1">
      <c r="A2852" s="6" t="s">
        <v>673</v>
      </c>
      <c r="B2852" s="2" t="s">
        <v>2120</v>
      </c>
      <c r="C2852" s="2" t="s">
        <v>544</v>
      </c>
      <c r="D2852" s="2">
        <v>110000</v>
      </c>
      <c r="E2852" s="2">
        <v>670210</v>
      </c>
      <c r="F2852" s="2">
        <v>610110</v>
      </c>
      <c r="G2852" s="32">
        <f>65798+1776</f>
        <v>67574</v>
      </c>
      <c r="H2852" s="32">
        <f>65798+1776</f>
        <v>67574</v>
      </c>
    </row>
    <row r="2853" spans="1:8" s="2" customFormat="1">
      <c r="A2853" s="6" t="s">
        <v>674</v>
      </c>
      <c r="B2853" s="2" t="s">
        <v>549</v>
      </c>
      <c r="C2853" s="2" t="s">
        <v>544</v>
      </c>
      <c r="D2853" s="2">
        <v>110000</v>
      </c>
      <c r="E2853" s="2">
        <v>670210</v>
      </c>
      <c r="F2853" s="2">
        <v>610110</v>
      </c>
      <c r="G2853" s="32">
        <f>54087+868</f>
        <v>54955</v>
      </c>
      <c r="H2853" s="32">
        <f>54087+868</f>
        <v>54955</v>
      </c>
    </row>
    <row r="2854" spans="1:8" s="2" customFormat="1">
      <c r="A2854" s="6" t="s">
        <v>675</v>
      </c>
      <c r="B2854" s="2" t="s">
        <v>550</v>
      </c>
      <c r="C2854" s="2" t="s">
        <v>2106</v>
      </c>
      <c r="D2854" s="2">
        <v>110000</v>
      </c>
      <c r="E2854" s="2">
        <v>670210</v>
      </c>
      <c r="F2854" s="2">
        <v>610110</v>
      </c>
      <c r="G2854" s="32">
        <v>47894</v>
      </c>
      <c r="H2854" s="32">
        <v>47894</v>
      </c>
    </row>
    <row r="2855" spans="1:8" s="2" customFormat="1">
      <c r="A2855" s="6" t="s">
        <v>676</v>
      </c>
      <c r="B2855" s="2" t="s">
        <v>551</v>
      </c>
      <c r="C2855" s="2" t="s">
        <v>148</v>
      </c>
      <c r="D2855" s="2">
        <v>110000</v>
      </c>
      <c r="E2855" s="2">
        <v>670210</v>
      </c>
      <c r="F2855" s="2">
        <v>610110</v>
      </c>
      <c r="G2855" s="32">
        <f>51613+1922</f>
        <v>53535</v>
      </c>
      <c r="H2855" s="32">
        <f>51613+1922</f>
        <v>53535</v>
      </c>
    </row>
    <row r="2856" spans="1:8" s="2" customFormat="1">
      <c r="A2856" s="6" t="s">
        <v>677</v>
      </c>
      <c r="B2856" s="2" t="s">
        <v>552</v>
      </c>
      <c r="C2856" s="2" t="s">
        <v>148</v>
      </c>
      <c r="D2856" s="2">
        <v>110000</v>
      </c>
      <c r="E2856" s="2">
        <v>670210</v>
      </c>
      <c r="F2856" s="2">
        <v>610110</v>
      </c>
      <c r="G2856" s="32">
        <f>51461+1881</f>
        <v>53342</v>
      </c>
      <c r="H2856" s="32">
        <f>51461+1881</f>
        <v>53342</v>
      </c>
    </row>
    <row r="2857" spans="1:8" s="2" customFormat="1">
      <c r="A2857" s="6"/>
      <c r="B2857" s="2" t="s">
        <v>1977</v>
      </c>
      <c r="C2857" s="2" t="s">
        <v>544</v>
      </c>
      <c r="D2857" s="2">
        <v>110000</v>
      </c>
      <c r="E2857" s="2">
        <v>670210</v>
      </c>
      <c r="F2857" s="2">
        <v>610110</v>
      </c>
      <c r="G2857" s="32">
        <v>60000</v>
      </c>
      <c r="H2857" s="32">
        <v>60000</v>
      </c>
    </row>
    <row r="2858" spans="1:8" s="2" customFormat="1">
      <c r="A2858" s="6" t="s">
        <v>678</v>
      </c>
      <c r="B2858" s="2" t="s">
        <v>553</v>
      </c>
      <c r="C2858" s="2" t="s">
        <v>2170</v>
      </c>
      <c r="D2858" s="2">
        <v>110000</v>
      </c>
      <c r="E2858" s="2">
        <v>670210</v>
      </c>
      <c r="F2858" s="2">
        <v>610210</v>
      </c>
      <c r="G2858" s="32">
        <f>62543+1751</f>
        <v>64294</v>
      </c>
      <c r="H2858" s="32">
        <f>62543+1751</f>
        <v>64294</v>
      </c>
    </row>
    <row r="2859" spans="1:8" s="2" customFormat="1">
      <c r="A2859" s="6" t="s">
        <v>679</v>
      </c>
      <c r="B2859" s="2" t="s">
        <v>2047</v>
      </c>
      <c r="C2859" s="2" t="s">
        <v>1061</v>
      </c>
      <c r="D2859" s="2">
        <v>110000</v>
      </c>
      <c r="E2859" s="2">
        <v>670210</v>
      </c>
      <c r="F2859" s="2">
        <v>610410</v>
      </c>
      <c r="G2859" s="32">
        <f>22422+628</f>
        <v>23050</v>
      </c>
      <c r="H2859" s="32">
        <f>22422+628</f>
        <v>23050</v>
      </c>
    </row>
    <row r="2860" spans="1:8" s="2" customFormat="1">
      <c r="A2860" s="6" t="s">
        <v>680</v>
      </c>
      <c r="B2860" s="2" t="s">
        <v>2048</v>
      </c>
      <c r="C2860" s="2" t="s">
        <v>1608</v>
      </c>
      <c r="D2860" s="2">
        <v>110000</v>
      </c>
      <c r="E2860" s="2">
        <v>670210</v>
      </c>
      <c r="F2860" s="2">
        <v>610210</v>
      </c>
      <c r="G2860" s="32">
        <v>35774</v>
      </c>
      <c r="H2860" s="32">
        <v>35774</v>
      </c>
    </row>
    <row r="2861" spans="1:8" s="2" customFormat="1">
      <c r="A2861" s="6" t="s">
        <v>681</v>
      </c>
      <c r="B2861" s="2" t="s">
        <v>1541</v>
      </c>
      <c r="C2861" s="2" t="s">
        <v>2170</v>
      </c>
      <c r="D2861" s="2">
        <v>279082</v>
      </c>
      <c r="E2861" s="2">
        <v>670210</v>
      </c>
      <c r="F2861" s="2">
        <v>610210</v>
      </c>
      <c r="G2861" s="32">
        <v>40000</v>
      </c>
      <c r="H2861" s="32"/>
    </row>
    <row r="2862" spans="1:8" s="2" customFormat="1">
      <c r="A2862" s="6" t="s">
        <v>682</v>
      </c>
      <c r="B2862" s="2" t="s">
        <v>2049</v>
      </c>
      <c r="C2862" s="2" t="s">
        <v>1023</v>
      </c>
      <c r="D2862" s="2">
        <v>110000</v>
      </c>
      <c r="E2862" s="2">
        <v>670210</v>
      </c>
      <c r="F2862" s="2">
        <v>610410</v>
      </c>
      <c r="G2862" s="32">
        <f>28174+789</f>
        <v>28963</v>
      </c>
      <c r="H2862" s="32">
        <f>28174+789</f>
        <v>28963</v>
      </c>
    </row>
    <row r="2863" spans="1:8" s="2" customFormat="1">
      <c r="A2863" s="6" t="s">
        <v>683</v>
      </c>
      <c r="B2863" s="2" t="s">
        <v>2050</v>
      </c>
      <c r="C2863" s="2" t="s">
        <v>2051</v>
      </c>
      <c r="D2863" s="2">
        <v>110000</v>
      </c>
      <c r="E2863" s="2">
        <v>670210</v>
      </c>
      <c r="F2863" s="2">
        <v>610410</v>
      </c>
      <c r="G2863" s="32">
        <f>17924+502</f>
        <v>18426</v>
      </c>
      <c r="H2863" s="32">
        <f>17924+502</f>
        <v>18426</v>
      </c>
    </row>
    <row r="2864" spans="1:8" s="2" customFormat="1">
      <c r="A2864" s="6"/>
      <c r="C2864" s="2" t="s">
        <v>1611</v>
      </c>
      <c r="D2864" s="2">
        <v>110000</v>
      </c>
      <c r="E2864" s="2">
        <v>670210</v>
      </c>
      <c r="F2864" s="2">
        <v>620000</v>
      </c>
      <c r="G2864" s="32">
        <v>9000</v>
      </c>
      <c r="H2864" s="32">
        <f>G2864</f>
        <v>9000</v>
      </c>
    </row>
    <row r="2865" spans="1:8" s="2" customFormat="1">
      <c r="A2865" s="6"/>
      <c r="C2865" s="2" t="s">
        <v>2950</v>
      </c>
      <c r="D2865" s="2">
        <v>110000</v>
      </c>
      <c r="E2865" s="2">
        <v>670210</v>
      </c>
      <c r="F2865" s="2">
        <v>610000</v>
      </c>
      <c r="G2865" s="32"/>
      <c r="H2865" s="32"/>
    </row>
    <row r="2866" spans="1:8" s="2" customFormat="1">
      <c r="A2866" s="6"/>
      <c r="C2866" s="2" t="s">
        <v>2951</v>
      </c>
      <c r="D2866" s="2">
        <v>110000</v>
      </c>
      <c r="E2866" s="2">
        <v>670210</v>
      </c>
      <c r="F2866" s="2">
        <v>630000</v>
      </c>
      <c r="G2866" s="32">
        <f>(SUM(G2845:G2865)-G2849)*0.21</f>
        <v>187250.69999999998</v>
      </c>
      <c r="H2866" s="32">
        <f>(SUM(H2845:H2865)-H2849)*0.21</f>
        <v>178246.53</v>
      </c>
    </row>
    <row r="2867" spans="1:8" s="2" customFormat="1">
      <c r="A2867" s="6"/>
      <c r="C2867" s="8" t="s">
        <v>1129</v>
      </c>
      <c r="G2867" s="32">
        <f>SUM(G2845:G2866)-G2849</f>
        <v>1078920.7</v>
      </c>
      <c r="H2867" s="32">
        <f>SUM(H2845:H2866)-H2849</f>
        <v>1027039.53</v>
      </c>
    </row>
    <row r="2868" spans="1:8" s="2" customFormat="1">
      <c r="A2868" s="6"/>
      <c r="C2868" s="2" t="s">
        <v>2234</v>
      </c>
      <c r="D2868" s="2">
        <v>110000</v>
      </c>
      <c r="E2868" s="2">
        <v>670210</v>
      </c>
      <c r="F2868" s="2">
        <v>710000</v>
      </c>
      <c r="G2868" s="32">
        <v>66024</v>
      </c>
      <c r="H2868" s="32">
        <f>G2868</f>
        <v>66024</v>
      </c>
    </row>
    <row r="2869" spans="1:8" s="2" customFormat="1">
      <c r="A2869" s="6"/>
      <c r="C2869" s="8" t="s">
        <v>2235</v>
      </c>
      <c r="G2869" s="32">
        <f>SUM(G2867:G2868)</f>
        <v>1144944.7</v>
      </c>
      <c r="H2869" s="32">
        <f>SUM(H2867:H2868)</f>
        <v>1093063.53</v>
      </c>
    </row>
    <row r="2870" spans="1:8" s="2" customFormat="1">
      <c r="A2870" s="6"/>
      <c r="C2870" s="8"/>
      <c r="G2870" s="32"/>
      <c r="H2870" s="32"/>
    </row>
    <row r="2871" spans="1:8" s="2" customFormat="1">
      <c r="A2871" s="5" t="s">
        <v>2542</v>
      </c>
      <c r="B2871" s="2" t="s">
        <v>2078</v>
      </c>
      <c r="G2871" s="32"/>
      <c r="H2871" s="32"/>
    </row>
    <row r="2872" spans="1:8" s="2" customFormat="1">
      <c r="A2872" s="5"/>
      <c r="G2872" s="32"/>
      <c r="H2872" s="32"/>
    </row>
    <row r="2873" spans="1:8" s="2" customFormat="1">
      <c r="A2873" s="6" t="s">
        <v>707</v>
      </c>
      <c r="B2873" s="2" t="s">
        <v>1379</v>
      </c>
      <c r="C2873" s="2" t="s">
        <v>1029</v>
      </c>
      <c r="D2873" s="2">
        <v>110000</v>
      </c>
      <c r="E2873" s="2">
        <v>670310</v>
      </c>
      <c r="F2873" s="2">
        <v>610110</v>
      </c>
      <c r="G2873" s="32">
        <f>84204+2526</f>
        <v>86730</v>
      </c>
      <c r="H2873" s="32">
        <f>84204+2526</f>
        <v>86730</v>
      </c>
    </row>
    <row r="2874" spans="1:8" s="2" customFormat="1">
      <c r="A2874" s="6" t="s">
        <v>708</v>
      </c>
      <c r="B2874" s="2" t="s">
        <v>1380</v>
      </c>
      <c r="C2874" s="2" t="s">
        <v>2490</v>
      </c>
      <c r="D2874" s="2">
        <v>110000</v>
      </c>
      <c r="E2874" s="2">
        <v>670310</v>
      </c>
      <c r="F2874" s="2">
        <v>610110</v>
      </c>
      <c r="G2874" s="32">
        <f>70971+1775</f>
        <v>72746</v>
      </c>
      <c r="H2874" s="32">
        <f>70971+1775</f>
        <v>72746</v>
      </c>
    </row>
    <row r="2875" spans="1:8" s="2" customFormat="1">
      <c r="A2875" s="6" t="s">
        <v>709</v>
      </c>
      <c r="B2875" s="2" t="s">
        <v>1381</v>
      </c>
      <c r="C2875" s="2" t="s">
        <v>2490</v>
      </c>
      <c r="D2875" s="2">
        <v>110000</v>
      </c>
      <c r="E2875" s="2">
        <v>670310</v>
      </c>
      <c r="F2875" s="2">
        <v>610110</v>
      </c>
      <c r="G2875" s="32">
        <f>71655+2743</f>
        <v>74398</v>
      </c>
      <c r="H2875" s="32">
        <f>71655+2743</f>
        <v>74398</v>
      </c>
    </row>
    <row r="2876" spans="1:8" s="2" customFormat="1">
      <c r="A2876" s="6" t="s">
        <v>710</v>
      </c>
      <c r="B2876" s="2" t="s">
        <v>1382</v>
      </c>
      <c r="C2876" s="2" t="s">
        <v>148</v>
      </c>
      <c r="D2876" s="2">
        <v>110000</v>
      </c>
      <c r="E2876" s="2">
        <v>670310</v>
      </c>
      <c r="F2876" s="2">
        <v>610110</v>
      </c>
      <c r="G2876" s="32">
        <f>60608+1291</f>
        <v>61899</v>
      </c>
      <c r="H2876" s="32">
        <f>60608+1291</f>
        <v>61899</v>
      </c>
    </row>
    <row r="2877" spans="1:8" s="2" customFormat="1">
      <c r="A2877" s="6" t="s">
        <v>711</v>
      </c>
      <c r="B2877" s="2" t="s">
        <v>1383</v>
      </c>
      <c r="C2877" s="2" t="s">
        <v>544</v>
      </c>
      <c r="D2877" s="2">
        <v>110000</v>
      </c>
      <c r="E2877" s="2">
        <v>670310</v>
      </c>
      <c r="F2877" s="2">
        <v>610110</v>
      </c>
      <c r="G2877" s="32">
        <f>54731+1000+1775</f>
        <v>57506</v>
      </c>
      <c r="H2877" s="32">
        <f>54731+1000+1775</f>
        <v>57506</v>
      </c>
    </row>
    <row r="2878" spans="1:8" s="2" customFormat="1">
      <c r="A2878" s="6" t="s">
        <v>712</v>
      </c>
      <c r="B2878" s="2" t="s">
        <v>1384</v>
      </c>
      <c r="C2878" s="2" t="s">
        <v>148</v>
      </c>
      <c r="D2878" s="2">
        <v>110000</v>
      </c>
      <c r="E2878" s="2">
        <v>670310</v>
      </c>
      <c r="F2878" s="2">
        <v>610110</v>
      </c>
      <c r="G2878" s="32">
        <f>49287+1291</f>
        <v>50578</v>
      </c>
      <c r="H2878" s="32">
        <f>49287+1291</f>
        <v>50578</v>
      </c>
    </row>
    <row r="2879" spans="1:8" s="2" customFormat="1">
      <c r="A2879" s="6"/>
      <c r="B2879" s="2" t="s">
        <v>1979</v>
      </c>
      <c r="C2879" s="2" t="s">
        <v>148</v>
      </c>
      <c r="D2879" s="2">
        <v>110000</v>
      </c>
      <c r="E2879" s="2">
        <v>670310</v>
      </c>
      <c r="F2879" s="2">
        <v>610110</v>
      </c>
      <c r="G2879" s="32">
        <v>60000</v>
      </c>
      <c r="H2879" s="32">
        <v>60000</v>
      </c>
    </row>
    <row r="2880" spans="1:8" s="2" customFormat="1">
      <c r="A2880" s="6" t="s">
        <v>713</v>
      </c>
      <c r="B2880" s="2" t="s">
        <v>1385</v>
      </c>
      <c r="C2880" s="2" t="s">
        <v>1608</v>
      </c>
      <c r="D2880" s="2">
        <v>110000</v>
      </c>
      <c r="E2880" s="2">
        <v>670310</v>
      </c>
      <c r="F2880" s="2">
        <v>610110</v>
      </c>
      <c r="G2880" s="32">
        <f>37541+807</f>
        <v>38348</v>
      </c>
      <c r="H2880" s="32">
        <f>37541+807</f>
        <v>38348</v>
      </c>
    </row>
    <row r="2881" spans="1:8" s="2" customFormat="1">
      <c r="A2881" s="6" t="s">
        <v>714</v>
      </c>
      <c r="B2881" s="2" t="s">
        <v>1386</v>
      </c>
      <c r="C2881" s="2" t="s">
        <v>1609</v>
      </c>
      <c r="D2881" s="2">
        <v>110000</v>
      </c>
      <c r="E2881" s="2">
        <v>670310</v>
      </c>
      <c r="F2881" s="2">
        <v>610410</v>
      </c>
      <c r="G2881" s="32">
        <f>18275+512</f>
        <v>18787</v>
      </c>
      <c r="H2881" s="32">
        <f>18275+512</f>
        <v>18787</v>
      </c>
    </row>
    <row r="2882" spans="1:8" s="2" customFormat="1">
      <c r="A2882" s="6"/>
      <c r="C2882" s="2" t="s">
        <v>1611</v>
      </c>
      <c r="D2882" s="2">
        <v>110000</v>
      </c>
      <c r="E2882" s="2">
        <v>670310</v>
      </c>
      <c r="F2882" s="2">
        <v>620000</v>
      </c>
      <c r="G2882" s="32"/>
      <c r="H2882" s="32"/>
    </row>
    <row r="2883" spans="1:8" s="2" customFormat="1">
      <c r="A2883" s="6"/>
      <c r="C2883" s="2" t="s">
        <v>2950</v>
      </c>
      <c r="D2883" s="2">
        <v>110000</v>
      </c>
      <c r="E2883" s="2">
        <v>670310</v>
      </c>
      <c r="F2883" s="2">
        <v>610000</v>
      </c>
      <c r="G2883" s="32"/>
      <c r="H2883" s="32"/>
    </row>
    <row r="2884" spans="1:8" s="2" customFormat="1">
      <c r="A2884" s="6"/>
      <c r="C2884" s="2" t="s">
        <v>2951</v>
      </c>
      <c r="D2884" s="2">
        <v>110000</v>
      </c>
      <c r="E2884" s="2">
        <v>670310</v>
      </c>
      <c r="F2884" s="2">
        <v>630000</v>
      </c>
      <c r="G2884" s="32">
        <f>SUM(G2873:G2883)*0.21</f>
        <v>109408.31999999999</v>
      </c>
      <c r="H2884" s="32">
        <f>SUM(H2873:H2883)*0.21</f>
        <v>109408.31999999999</v>
      </c>
    </row>
    <row r="2885" spans="1:8" s="2" customFormat="1">
      <c r="A2885" s="5"/>
      <c r="C2885" s="8" t="s">
        <v>1129</v>
      </c>
      <c r="G2885" s="32">
        <f>SUM(G2873:G2884)</f>
        <v>630400.31999999995</v>
      </c>
      <c r="H2885" s="32">
        <f>SUM(H2873:H2884)</f>
        <v>630400.31999999995</v>
      </c>
    </row>
    <row r="2886" spans="1:8" s="2" customFormat="1">
      <c r="A2886" s="5"/>
      <c r="C2886" s="2" t="s">
        <v>2234</v>
      </c>
      <c r="D2886" s="2">
        <v>110000</v>
      </c>
      <c r="E2886" s="2">
        <v>670310</v>
      </c>
      <c r="F2886" s="2">
        <v>710000</v>
      </c>
      <c r="G2886" s="32">
        <v>20165</v>
      </c>
      <c r="H2886" s="32">
        <v>20165</v>
      </c>
    </row>
    <row r="2887" spans="1:8" s="2" customFormat="1">
      <c r="A2887" s="5"/>
      <c r="C2887" s="8" t="s">
        <v>2235</v>
      </c>
      <c r="G2887" s="32">
        <f>G2885+G2886</f>
        <v>650565.31999999995</v>
      </c>
      <c r="H2887" s="32">
        <f>H2885+H2886</f>
        <v>650565.31999999995</v>
      </c>
    </row>
    <row r="2888" spans="1:8" s="2" customFormat="1">
      <c r="A2888" s="6"/>
      <c r="G2888" s="32"/>
      <c r="H2888" s="32"/>
    </row>
    <row r="2889" spans="1:8" s="2" customFormat="1">
      <c r="A2889" s="5" t="s">
        <v>2543</v>
      </c>
      <c r="B2889" s="2" t="s">
        <v>1387</v>
      </c>
      <c r="G2889" s="32"/>
      <c r="H2889" s="32"/>
    </row>
    <row r="2890" spans="1:8" s="2" customFormat="1">
      <c r="A2890" s="5"/>
      <c r="G2890" s="32"/>
      <c r="H2890" s="32"/>
    </row>
    <row r="2891" spans="1:8" s="2" customFormat="1">
      <c r="A2891" s="5"/>
      <c r="C2891" s="2" t="s">
        <v>1611</v>
      </c>
      <c r="D2891" s="2">
        <v>110000</v>
      </c>
      <c r="E2891" s="2">
        <v>670311</v>
      </c>
      <c r="F2891" s="2">
        <v>620000</v>
      </c>
      <c r="G2891" s="32">
        <v>15000</v>
      </c>
      <c r="H2891" s="32">
        <v>15000</v>
      </c>
    </row>
    <row r="2892" spans="1:8" s="2" customFormat="1">
      <c r="A2892" s="5"/>
      <c r="C2892" s="2" t="s">
        <v>2234</v>
      </c>
      <c r="D2892" s="2">
        <v>110000</v>
      </c>
      <c r="E2892" s="2">
        <v>670311</v>
      </c>
      <c r="F2892" s="2">
        <v>710000</v>
      </c>
      <c r="G2892" s="32">
        <v>7493</v>
      </c>
      <c r="H2892" s="32">
        <v>7493</v>
      </c>
    </row>
    <row r="2893" spans="1:8" s="2" customFormat="1">
      <c r="A2893" s="5"/>
      <c r="C2893" s="8" t="s">
        <v>2235</v>
      </c>
      <c r="G2893" s="32">
        <f>SUM(G2891:G2892)</f>
        <v>22493</v>
      </c>
      <c r="H2893" s="32">
        <f>SUM(H2891:H2892)</f>
        <v>22493</v>
      </c>
    </row>
    <row r="2894" spans="1:8" s="2" customFormat="1">
      <c r="A2894" s="6"/>
      <c r="G2894" s="32"/>
      <c r="H2894" s="32"/>
    </row>
    <row r="2895" spans="1:8" s="2" customFormat="1">
      <c r="A2895" s="5" t="s">
        <v>2548</v>
      </c>
      <c r="B2895" s="2" t="s">
        <v>1414</v>
      </c>
      <c r="G2895" s="32"/>
      <c r="H2895" s="32"/>
    </row>
    <row r="2896" spans="1:8" s="2" customFormat="1">
      <c r="A2896" s="5"/>
      <c r="G2896" s="32"/>
      <c r="H2896" s="32"/>
    </row>
    <row r="2897" spans="1:8" s="2" customFormat="1">
      <c r="A2897" s="6" t="s">
        <v>741</v>
      </c>
      <c r="B2897" s="2" t="s">
        <v>1415</v>
      </c>
      <c r="C2897" s="2" t="s">
        <v>1029</v>
      </c>
      <c r="D2897" s="2">
        <v>110000</v>
      </c>
      <c r="E2897" s="2">
        <v>670410</v>
      </c>
      <c r="F2897" s="2">
        <v>610110</v>
      </c>
      <c r="G2897" s="32">
        <f>82768+1958</f>
        <v>84726</v>
      </c>
      <c r="H2897" s="32">
        <f>82768+1958</f>
        <v>84726</v>
      </c>
    </row>
    <row r="2898" spans="1:8" s="2" customFormat="1">
      <c r="A2898" s="6" t="s">
        <v>742</v>
      </c>
      <c r="B2898" s="2" t="s">
        <v>947</v>
      </c>
      <c r="C2898" s="2" t="s">
        <v>2490</v>
      </c>
      <c r="D2898" s="2">
        <v>110000</v>
      </c>
      <c r="E2898" s="2">
        <v>670410</v>
      </c>
      <c r="F2898" s="2">
        <v>610110</v>
      </c>
      <c r="G2898" s="32">
        <f>75417+2225</f>
        <v>77642</v>
      </c>
      <c r="H2898" s="32">
        <f>75417+2225</f>
        <v>77642</v>
      </c>
    </row>
    <row r="2899" spans="1:8" s="2" customFormat="1">
      <c r="A2899" s="6" t="s">
        <v>743</v>
      </c>
      <c r="B2899" s="2" t="s">
        <v>948</v>
      </c>
      <c r="C2899" s="2" t="s">
        <v>2490</v>
      </c>
      <c r="D2899" s="2">
        <v>110000</v>
      </c>
      <c r="E2899" s="2">
        <v>670410</v>
      </c>
      <c r="F2899" s="2">
        <v>610110</v>
      </c>
      <c r="G2899" s="32">
        <f>63353+1647</f>
        <v>65000</v>
      </c>
      <c r="H2899" s="32">
        <f>63353+1647</f>
        <v>65000</v>
      </c>
    </row>
    <row r="2900" spans="1:8" s="2" customFormat="1">
      <c r="A2900" s="6" t="s">
        <v>744</v>
      </c>
      <c r="B2900" s="2" t="s">
        <v>949</v>
      </c>
      <c r="C2900" s="2" t="s">
        <v>2490</v>
      </c>
      <c r="D2900" s="2">
        <v>110000</v>
      </c>
      <c r="E2900" s="2">
        <v>670410</v>
      </c>
      <c r="F2900" s="2">
        <v>610110</v>
      </c>
      <c r="G2900" s="32">
        <f>53538+1419</f>
        <v>54957</v>
      </c>
      <c r="H2900" s="32">
        <f>53538+1419</f>
        <v>54957</v>
      </c>
    </row>
    <row r="2901" spans="1:8" s="2" customFormat="1">
      <c r="A2901" s="6" t="s">
        <v>745</v>
      </c>
      <c r="B2901" s="2" t="s">
        <v>2236</v>
      </c>
      <c r="C2901" s="2" t="s">
        <v>2490</v>
      </c>
      <c r="D2901" s="2">
        <v>110000</v>
      </c>
      <c r="E2901" s="2">
        <v>670410</v>
      </c>
      <c r="F2901" s="2">
        <v>610110</v>
      </c>
      <c r="G2901" s="32">
        <f>53412+1389</f>
        <v>54801</v>
      </c>
      <c r="H2901" s="32">
        <f>53412+1389</f>
        <v>54801</v>
      </c>
    </row>
    <row r="2902" spans="1:8" s="2" customFormat="1">
      <c r="A2902" s="6" t="s">
        <v>746</v>
      </c>
      <c r="B2902" s="2" t="s">
        <v>2237</v>
      </c>
      <c r="C2902" s="2" t="s">
        <v>544</v>
      </c>
      <c r="D2902" s="2">
        <v>110000</v>
      </c>
      <c r="E2902" s="2">
        <v>670410</v>
      </c>
      <c r="F2902" s="2">
        <v>610110</v>
      </c>
      <c r="G2902" s="32">
        <f>48501+1499</f>
        <v>50000</v>
      </c>
      <c r="H2902" s="32">
        <f>48501+1499</f>
        <v>50000</v>
      </c>
    </row>
    <row r="2903" spans="1:8" s="2" customFormat="1">
      <c r="A2903" s="6" t="s">
        <v>747</v>
      </c>
      <c r="B2903" s="2" t="s">
        <v>2238</v>
      </c>
      <c r="C2903" s="2" t="s">
        <v>544</v>
      </c>
      <c r="D2903" s="2">
        <v>110000</v>
      </c>
      <c r="E2903" s="2">
        <v>670410</v>
      </c>
      <c r="F2903" s="2">
        <v>610110</v>
      </c>
      <c r="G2903" s="32">
        <f>46487+1488</f>
        <v>47975</v>
      </c>
      <c r="H2903" s="32">
        <f>46487+1488</f>
        <v>47975</v>
      </c>
    </row>
    <row r="2904" spans="1:8" s="2" customFormat="1">
      <c r="A2904" s="6" t="s">
        <v>748</v>
      </c>
      <c r="B2904" s="2" t="s">
        <v>2239</v>
      </c>
      <c r="C2904" s="2" t="s">
        <v>148</v>
      </c>
      <c r="D2904" s="2">
        <v>110000</v>
      </c>
      <c r="E2904" s="2">
        <v>670410</v>
      </c>
      <c r="F2904" s="2">
        <v>610110</v>
      </c>
      <c r="G2904" s="32">
        <f>43083+952</f>
        <v>44035</v>
      </c>
      <c r="H2904" s="32">
        <f>43083+952</f>
        <v>44035</v>
      </c>
    </row>
    <row r="2905" spans="1:8" s="2" customFormat="1">
      <c r="A2905" s="6" t="s">
        <v>749</v>
      </c>
      <c r="B2905" s="2" t="s">
        <v>2240</v>
      </c>
      <c r="C2905" s="2" t="s">
        <v>148</v>
      </c>
      <c r="D2905" s="2">
        <v>110000</v>
      </c>
      <c r="E2905" s="2">
        <v>670410</v>
      </c>
      <c r="F2905" s="2">
        <v>610110</v>
      </c>
      <c r="G2905" s="32">
        <f>44069+1234</f>
        <v>45303</v>
      </c>
      <c r="H2905" s="32">
        <f>44069+1234</f>
        <v>45303</v>
      </c>
    </row>
    <row r="2906" spans="1:8" s="2" customFormat="1">
      <c r="A2906" s="6" t="s">
        <v>750</v>
      </c>
      <c r="B2906" s="2" t="s">
        <v>2241</v>
      </c>
      <c r="C2906" s="2" t="s">
        <v>148</v>
      </c>
      <c r="D2906" s="2">
        <v>110000</v>
      </c>
      <c r="E2906" s="2">
        <v>670410</v>
      </c>
      <c r="F2906" s="2">
        <v>610110</v>
      </c>
      <c r="G2906" s="32">
        <f>45759+1281</f>
        <v>47040</v>
      </c>
      <c r="H2906" s="32">
        <f>45759+1281</f>
        <v>47040</v>
      </c>
    </row>
    <row r="2907" spans="1:8" s="2" customFormat="1">
      <c r="A2907" s="6" t="s">
        <v>751</v>
      </c>
      <c r="B2907" s="2" t="s">
        <v>2242</v>
      </c>
      <c r="C2907" s="2" t="s">
        <v>148</v>
      </c>
      <c r="D2907" s="2">
        <v>110000</v>
      </c>
      <c r="E2907" s="2">
        <v>670410</v>
      </c>
      <c r="F2907" s="2">
        <v>610110</v>
      </c>
      <c r="G2907" s="32">
        <f>41707+1293</f>
        <v>43000</v>
      </c>
      <c r="H2907" s="32">
        <f>41707+1293</f>
        <v>43000</v>
      </c>
    </row>
    <row r="2908" spans="1:8" s="2" customFormat="1">
      <c r="A2908" s="6" t="s">
        <v>752</v>
      </c>
      <c r="B2908" s="2" t="s">
        <v>1130</v>
      </c>
      <c r="C2908" s="2" t="s">
        <v>2106</v>
      </c>
      <c r="D2908" s="2">
        <v>110000</v>
      </c>
      <c r="E2908" s="2">
        <v>670410</v>
      </c>
      <c r="F2908" s="2">
        <v>610110</v>
      </c>
      <c r="G2908" s="32">
        <f>44092+1323</f>
        <v>45415</v>
      </c>
      <c r="H2908" s="32">
        <f>44092+1323</f>
        <v>45415</v>
      </c>
    </row>
    <row r="2909" spans="1:8" s="2" customFormat="1">
      <c r="A2909" s="6" t="s">
        <v>753</v>
      </c>
      <c r="B2909" s="2" t="s">
        <v>1131</v>
      </c>
      <c r="C2909" s="2" t="s">
        <v>1608</v>
      </c>
      <c r="D2909" s="2">
        <v>110000</v>
      </c>
      <c r="E2909" s="2">
        <v>670410</v>
      </c>
      <c r="F2909" s="2">
        <v>610210</v>
      </c>
      <c r="G2909" s="32">
        <f>29575+592</f>
        <v>30167</v>
      </c>
      <c r="H2909" s="32">
        <f>29575+592</f>
        <v>30167</v>
      </c>
    </row>
    <row r="2910" spans="1:8" s="2" customFormat="1">
      <c r="A2910" s="6" t="s">
        <v>754</v>
      </c>
      <c r="B2910" s="2" t="s">
        <v>1132</v>
      </c>
      <c r="C2910" s="2" t="s">
        <v>2170</v>
      </c>
      <c r="D2910" s="2">
        <v>110000</v>
      </c>
      <c r="E2910" s="2">
        <v>670410</v>
      </c>
      <c r="F2910" s="2">
        <v>610210</v>
      </c>
      <c r="G2910" s="32">
        <f>35686+1209</f>
        <v>36895</v>
      </c>
      <c r="H2910" s="32">
        <f>35686+1209</f>
        <v>36895</v>
      </c>
    </row>
    <row r="2911" spans="1:8" s="2" customFormat="1" ht="12" customHeight="1">
      <c r="A2911" s="6" t="s">
        <v>755</v>
      </c>
      <c r="B2911" s="2" t="s">
        <v>1133</v>
      </c>
      <c r="C2911" s="2" t="s">
        <v>1608</v>
      </c>
      <c r="D2911" s="2">
        <v>110000</v>
      </c>
      <c r="E2911" s="2">
        <v>670410</v>
      </c>
      <c r="F2911" s="2">
        <v>610210</v>
      </c>
      <c r="G2911" s="32">
        <f>20051+501</f>
        <v>20552</v>
      </c>
      <c r="H2911" s="32">
        <f>20051+501</f>
        <v>20552</v>
      </c>
    </row>
    <row r="2912" spans="1:8" s="2" customFormat="1">
      <c r="A2912" s="6" t="s">
        <v>756</v>
      </c>
      <c r="B2912" s="2" t="s">
        <v>1134</v>
      </c>
      <c r="C2912" s="2" t="s">
        <v>1023</v>
      </c>
      <c r="D2912" s="2">
        <v>110000</v>
      </c>
      <c r="E2912" s="2">
        <v>670410</v>
      </c>
      <c r="F2912" s="2">
        <v>610410</v>
      </c>
      <c r="G2912" s="32">
        <f>18833+527</f>
        <v>19360</v>
      </c>
      <c r="H2912" s="32">
        <f>18833+527</f>
        <v>19360</v>
      </c>
    </row>
    <row r="2913" spans="1:8" s="2" customFormat="1">
      <c r="A2913" s="6" t="s">
        <v>757</v>
      </c>
      <c r="B2913" s="2" t="s">
        <v>2923</v>
      </c>
      <c r="C2913" s="2" t="s">
        <v>1609</v>
      </c>
      <c r="D2913" s="2">
        <v>110000</v>
      </c>
      <c r="E2913" s="2">
        <v>670410</v>
      </c>
      <c r="F2913" s="2">
        <v>610410</v>
      </c>
      <c r="G2913" s="32">
        <f>17259+483</f>
        <v>17742</v>
      </c>
      <c r="H2913" s="32">
        <f>17259+483</f>
        <v>17742</v>
      </c>
    </row>
    <row r="2914" spans="1:8" s="2" customFormat="1">
      <c r="A2914" s="6"/>
      <c r="C2914" s="2" t="s">
        <v>1611</v>
      </c>
      <c r="D2914" s="2">
        <v>110000</v>
      </c>
      <c r="E2914" s="2">
        <v>670410</v>
      </c>
      <c r="F2914" s="2">
        <v>620000</v>
      </c>
      <c r="G2914" s="32"/>
      <c r="H2914" s="32"/>
    </row>
    <row r="2915" spans="1:8" s="2" customFormat="1">
      <c r="A2915" s="6"/>
      <c r="C2915" s="2" t="s">
        <v>2950</v>
      </c>
      <c r="D2915" s="2">
        <v>110000</v>
      </c>
      <c r="E2915" s="2">
        <v>670410</v>
      </c>
      <c r="F2915" s="2">
        <v>610000</v>
      </c>
      <c r="G2915" s="32"/>
      <c r="H2915" s="32"/>
    </row>
    <row r="2916" spans="1:8" s="2" customFormat="1">
      <c r="A2916" s="6"/>
      <c r="C2916" s="2" t="s">
        <v>2951</v>
      </c>
      <c r="D2916" s="2">
        <v>110000</v>
      </c>
      <c r="E2916" s="2">
        <v>670410</v>
      </c>
      <c r="F2916" s="2">
        <v>630000</v>
      </c>
      <c r="G2916" s="32">
        <f>SUM(G2897:G2915)*0.21</f>
        <v>164768.1</v>
      </c>
      <c r="H2916" s="32">
        <f>SUM(H2897:H2915)*0.21</f>
        <v>164768.1</v>
      </c>
    </row>
    <row r="2917" spans="1:8" s="2" customFormat="1">
      <c r="A2917" s="5"/>
      <c r="C2917" s="8" t="s">
        <v>1129</v>
      </c>
      <c r="G2917" s="32">
        <f>SUM(G2897:G2916)</f>
        <v>949378.1</v>
      </c>
      <c r="H2917" s="32">
        <f>SUM(H2897:H2916)</f>
        <v>949378.1</v>
      </c>
    </row>
    <row r="2918" spans="1:8" s="2" customFormat="1">
      <c r="A2918" s="5"/>
      <c r="C2918" s="2" t="s">
        <v>2234</v>
      </c>
      <c r="D2918" s="2">
        <v>110000</v>
      </c>
      <c r="E2918" s="2">
        <v>670410</v>
      </c>
      <c r="F2918" s="2">
        <v>710000</v>
      </c>
      <c r="G2918" s="32">
        <v>39569</v>
      </c>
      <c r="H2918" s="32">
        <v>39569</v>
      </c>
    </row>
    <row r="2919" spans="1:8" s="2" customFormat="1">
      <c r="A2919" s="5"/>
      <c r="C2919" s="8" t="s">
        <v>2235</v>
      </c>
      <c r="G2919" s="32">
        <f>G2917+G2918</f>
        <v>988947.1</v>
      </c>
      <c r="H2919" s="32">
        <f>H2917+H2918</f>
        <v>988947.1</v>
      </c>
    </row>
    <row r="2921" spans="1:8" s="2" customFormat="1">
      <c r="A2921" s="15">
        <v>670411</v>
      </c>
      <c r="B2921" s="2" t="s">
        <v>782</v>
      </c>
      <c r="D2921" s="26"/>
      <c r="G2921" s="32"/>
      <c r="H2921" s="32"/>
    </row>
    <row r="2922" spans="1:8" s="2" customFormat="1">
      <c r="A2922" s="15"/>
      <c r="D2922" s="26"/>
      <c r="G2922" s="32"/>
      <c r="H2922" s="32"/>
    </row>
    <row r="2923" spans="1:8" s="2" customFormat="1">
      <c r="A2923" s="15"/>
      <c r="C2923" s="2" t="s">
        <v>2234</v>
      </c>
      <c r="D2923" s="26">
        <v>110000</v>
      </c>
      <c r="E2923" s="2">
        <v>670411</v>
      </c>
      <c r="F2923" s="2">
        <v>710000</v>
      </c>
      <c r="G2923" s="32">
        <v>3096</v>
      </c>
      <c r="H2923" s="32">
        <v>3096</v>
      </c>
    </row>
    <row r="2924" spans="1:8" s="2" customFormat="1">
      <c r="A2924" s="15"/>
      <c r="C2924" s="8" t="s">
        <v>2235</v>
      </c>
      <c r="D2924" s="26"/>
      <c r="G2924" s="32">
        <f>G2923</f>
        <v>3096</v>
      </c>
      <c r="H2924" s="32">
        <f>H2923</f>
        <v>3096</v>
      </c>
    </row>
    <row r="2925" spans="1:8" s="2" customFormat="1">
      <c r="A2925" s="15"/>
      <c r="D2925" s="26"/>
      <c r="G2925" s="32"/>
      <c r="H2925" s="32"/>
    </row>
    <row r="2926" spans="1:8" s="2" customFormat="1">
      <c r="A2926" s="15">
        <v>670412</v>
      </c>
      <c r="B2926" s="2" t="s">
        <v>2864</v>
      </c>
      <c r="D2926" s="26"/>
      <c r="G2926" s="32"/>
      <c r="H2926" s="32"/>
    </row>
    <row r="2927" spans="1:8" s="2" customFormat="1">
      <c r="A2927" s="15"/>
      <c r="D2927" s="26"/>
      <c r="G2927" s="32"/>
      <c r="H2927" s="32"/>
    </row>
    <row r="2928" spans="1:8" s="2" customFormat="1">
      <c r="A2928" s="15"/>
      <c r="C2928" s="2" t="s">
        <v>2234</v>
      </c>
      <c r="D2928" s="26">
        <v>110000</v>
      </c>
      <c r="E2928" s="2">
        <v>670412</v>
      </c>
      <c r="F2928" s="2">
        <v>710000</v>
      </c>
      <c r="G2928" s="32">
        <v>5414</v>
      </c>
      <c r="H2928" s="32">
        <v>5414</v>
      </c>
    </row>
    <row r="2929" spans="1:8" s="2" customFormat="1">
      <c r="A2929" s="15"/>
      <c r="C2929" s="8" t="s">
        <v>2235</v>
      </c>
      <c r="D2929" s="26"/>
      <c r="G2929" s="32">
        <f>G2928</f>
        <v>5414</v>
      </c>
      <c r="H2929" s="32">
        <f>H2928</f>
        <v>5414</v>
      </c>
    </row>
    <row r="2930" spans="1:8" s="2" customFormat="1">
      <c r="A2930" s="15"/>
      <c r="D2930" s="26"/>
      <c r="G2930" s="32"/>
      <c r="H2930" s="32"/>
    </row>
    <row r="2931" spans="1:8" s="2" customFormat="1">
      <c r="A2931" s="15">
        <v>670413</v>
      </c>
      <c r="B2931" s="2" t="s">
        <v>2865</v>
      </c>
      <c r="D2931" s="26"/>
      <c r="G2931" s="32"/>
      <c r="H2931" s="32"/>
    </row>
    <row r="2932" spans="1:8" s="2" customFormat="1">
      <c r="A2932" s="15"/>
      <c r="D2932" s="26"/>
      <c r="G2932" s="32"/>
      <c r="H2932" s="32"/>
    </row>
    <row r="2933" spans="1:8" s="2" customFormat="1">
      <c r="C2933" s="2" t="s">
        <v>2234</v>
      </c>
      <c r="D2933" s="26">
        <v>110000</v>
      </c>
      <c r="E2933" s="2">
        <v>670413</v>
      </c>
      <c r="F2933" s="2">
        <v>710000</v>
      </c>
      <c r="G2933" s="32">
        <v>10103</v>
      </c>
      <c r="H2933" s="32">
        <v>10103</v>
      </c>
    </row>
    <row r="2934" spans="1:8" s="2" customFormat="1">
      <c r="C2934" s="8" t="s">
        <v>2235</v>
      </c>
      <c r="D2934" s="26"/>
      <c r="G2934" s="32">
        <v>10103</v>
      </c>
      <c r="H2934" s="32">
        <v>10103</v>
      </c>
    </row>
    <row r="2935" spans="1:8" s="2" customFormat="1">
      <c r="D2935" s="26"/>
      <c r="G2935" s="32"/>
      <c r="H2935" s="32"/>
    </row>
    <row r="2936" spans="1:8" s="2" customFormat="1">
      <c r="A2936" s="5" t="s">
        <v>2944</v>
      </c>
      <c r="B2936" s="2" t="s">
        <v>1484</v>
      </c>
      <c r="G2936" s="32"/>
      <c r="H2936" s="32"/>
    </row>
    <row r="2937" spans="1:8" s="2" customFormat="1">
      <c r="A2937" s="5"/>
      <c r="G2937" s="32"/>
      <c r="H2937" s="32"/>
    </row>
    <row r="2938" spans="1:8" s="2" customFormat="1">
      <c r="A2938" s="6"/>
      <c r="C2938" s="2" t="s">
        <v>2495</v>
      </c>
      <c r="D2938" s="2">
        <v>110000</v>
      </c>
      <c r="E2938" s="2">
        <v>670510</v>
      </c>
      <c r="F2938" s="2">
        <v>610110</v>
      </c>
      <c r="G2938" s="32">
        <v>120000</v>
      </c>
      <c r="H2938" s="32">
        <v>120000</v>
      </c>
    </row>
    <row r="2939" spans="1:8" s="2" customFormat="1">
      <c r="A2939" s="6"/>
      <c r="C2939" s="2" t="s">
        <v>148</v>
      </c>
      <c r="D2939" s="2">
        <v>110000</v>
      </c>
      <c r="E2939" s="2">
        <v>670510</v>
      </c>
      <c r="F2939" s="2">
        <v>610110</v>
      </c>
      <c r="G2939" s="32">
        <v>82500</v>
      </c>
      <c r="H2939" s="32">
        <v>82500</v>
      </c>
    </row>
    <row r="2940" spans="1:8" s="2" customFormat="1">
      <c r="A2940" s="6"/>
      <c r="C2940" s="2" t="s">
        <v>148</v>
      </c>
      <c r="D2940" s="2">
        <v>110000</v>
      </c>
      <c r="E2940" s="2">
        <v>670510</v>
      </c>
      <c r="F2940" s="2">
        <v>610410</v>
      </c>
      <c r="G2940" s="32">
        <v>82500</v>
      </c>
      <c r="H2940" s="32">
        <v>82500</v>
      </c>
    </row>
    <row r="2941" spans="1:8" s="2" customFormat="1">
      <c r="A2941" s="6"/>
      <c r="C2941" s="2" t="s">
        <v>1061</v>
      </c>
      <c r="G2941" s="32">
        <v>20466</v>
      </c>
      <c r="H2941" s="32">
        <v>20466</v>
      </c>
    </row>
    <row r="2942" spans="1:8" s="2" customFormat="1">
      <c r="A2942" s="6"/>
      <c r="C2942" s="2" t="s">
        <v>1485</v>
      </c>
      <c r="G2942" s="32">
        <v>55000</v>
      </c>
      <c r="H2942" s="32">
        <v>55000</v>
      </c>
    </row>
    <row r="2943" spans="1:8" s="2" customFormat="1">
      <c r="A2943" s="6"/>
      <c r="C2943" s="2" t="s">
        <v>1611</v>
      </c>
      <c r="D2943" s="2">
        <v>110000</v>
      </c>
      <c r="E2943" s="2">
        <v>670510</v>
      </c>
      <c r="F2943" s="2">
        <v>620000</v>
      </c>
      <c r="G2943" s="32"/>
      <c r="H2943" s="32"/>
    </row>
    <row r="2944" spans="1:8" s="2" customFormat="1">
      <c r="A2944" s="6"/>
      <c r="C2944" s="2" t="s">
        <v>2950</v>
      </c>
      <c r="D2944" s="2">
        <v>110000</v>
      </c>
      <c r="E2944" s="2">
        <v>670510</v>
      </c>
      <c r="F2944" s="2">
        <v>610000</v>
      </c>
      <c r="G2944" s="32"/>
      <c r="H2944" s="32"/>
    </row>
    <row r="2945" spans="1:8" s="2" customFormat="1">
      <c r="A2945" s="6"/>
      <c r="C2945" s="2" t="s">
        <v>2951</v>
      </c>
      <c r="D2945" s="2">
        <v>110000</v>
      </c>
      <c r="E2945" s="2">
        <v>670510</v>
      </c>
      <c r="F2945" s="2">
        <v>630000</v>
      </c>
      <c r="G2945" s="32">
        <f>SUM(G2938:G2944)*0.2</f>
        <v>72093.2</v>
      </c>
      <c r="H2945" s="32">
        <f>SUM(H2938:H2944)*0.2</f>
        <v>72093.2</v>
      </c>
    </row>
    <row r="2946" spans="1:8" s="2" customFormat="1">
      <c r="A2946" s="6"/>
      <c r="C2946" s="8" t="s">
        <v>1129</v>
      </c>
      <c r="G2946" s="32">
        <f>SUM(G2938:G2945)</f>
        <v>432559.2</v>
      </c>
      <c r="H2946" s="32">
        <f>SUM(H2938:H2945)</f>
        <v>432559.2</v>
      </c>
    </row>
    <row r="2947" spans="1:8" s="2" customFormat="1">
      <c r="A2947" s="6"/>
      <c r="C2947" s="2" t="s">
        <v>2234</v>
      </c>
      <c r="D2947" s="2">
        <v>110000</v>
      </c>
      <c r="E2947" s="2">
        <v>670510</v>
      </c>
      <c r="F2947" s="2">
        <v>710000</v>
      </c>
      <c r="G2947" s="32">
        <v>24000</v>
      </c>
      <c r="H2947" s="32">
        <v>24000</v>
      </c>
    </row>
    <row r="2948" spans="1:8" s="2" customFormat="1">
      <c r="A2948" s="6"/>
      <c r="C2948" s="8" t="s">
        <v>2235</v>
      </c>
      <c r="G2948" s="32">
        <f>SUM(G2946:G2947)</f>
        <v>456559.2</v>
      </c>
      <c r="H2948" s="32">
        <f>SUM(H2946:H2947)</f>
        <v>456559.2</v>
      </c>
    </row>
    <row r="2949" spans="1:8" s="2" customFormat="1">
      <c r="D2949" s="26"/>
      <c r="G2949" s="32"/>
      <c r="H2949" s="32"/>
    </row>
    <row r="2950" spans="1:8" s="2" customFormat="1">
      <c r="A2950" s="6" t="s">
        <v>462</v>
      </c>
      <c r="B2950" s="2" t="s">
        <v>2866</v>
      </c>
      <c r="E2950" s="20"/>
      <c r="G2950" s="32"/>
      <c r="H2950" s="32"/>
    </row>
    <row r="2951" spans="1:8" s="2" customFormat="1">
      <c r="A2951" s="5"/>
      <c r="B2951" s="9"/>
      <c r="E2951" s="20"/>
      <c r="G2951" s="32"/>
      <c r="H2951" s="32"/>
    </row>
    <row r="2952" spans="1:8" s="2" customFormat="1">
      <c r="A2952" s="5" t="s">
        <v>815</v>
      </c>
      <c r="B2952" s="9" t="s">
        <v>2867</v>
      </c>
      <c r="C2952" s="9" t="s">
        <v>1614</v>
      </c>
      <c r="D2952" s="2">
        <v>110000</v>
      </c>
      <c r="E2952" s="20">
        <v>700000</v>
      </c>
      <c r="F2952" s="2">
        <v>610210</v>
      </c>
      <c r="G2952" s="32">
        <f>103000+3100</f>
        <v>106100</v>
      </c>
      <c r="H2952" s="32">
        <f>103000+3100</f>
        <v>106100</v>
      </c>
    </row>
    <row r="2953" spans="1:8" s="2" customFormat="1">
      <c r="A2953" s="5" t="s">
        <v>816</v>
      </c>
      <c r="B2953" s="9" t="s">
        <v>1059</v>
      </c>
      <c r="C2953" s="9" t="s">
        <v>1592</v>
      </c>
      <c r="D2953" s="2">
        <v>110000</v>
      </c>
      <c r="E2953" s="20">
        <v>700000</v>
      </c>
      <c r="F2953" s="2">
        <v>610210</v>
      </c>
      <c r="G2953" s="32">
        <f>71265+1500+2110</f>
        <v>74875</v>
      </c>
      <c r="H2953" s="32">
        <f>71265+1500+2110</f>
        <v>74875</v>
      </c>
    </row>
    <row r="2954" spans="1:8" s="2" customFormat="1">
      <c r="A2954" s="5" t="s">
        <v>817</v>
      </c>
      <c r="B2954" s="9" t="s">
        <v>1060</v>
      </c>
      <c r="C2954" s="9" t="s">
        <v>1061</v>
      </c>
      <c r="D2954" s="2">
        <v>110000</v>
      </c>
      <c r="E2954" s="20">
        <v>700000</v>
      </c>
      <c r="F2954" s="2">
        <v>610410</v>
      </c>
      <c r="G2954" s="32">
        <f>35000+980</f>
        <v>35980</v>
      </c>
      <c r="H2954" s="32">
        <f>35000+980</f>
        <v>35980</v>
      </c>
    </row>
    <row r="2955" spans="1:8" s="2" customFormat="1">
      <c r="A2955" s="5" t="s">
        <v>818</v>
      </c>
      <c r="B2955" s="9" t="s">
        <v>1062</v>
      </c>
      <c r="C2955" s="9" t="s">
        <v>2255</v>
      </c>
      <c r="D2955" s="2">
        <v>110000</v>
      </c>
      <c r="E2955" s="20">
        <v>700000</v>
      </c>
      <c r="F2955" s="2">
        <v>610410</v>
      </c>
      <c r="G2955" s="32">
        <f>22421+628</f>
        <v>23049</v>
      </c>
      <c r="H2955" s="32">
        <f>22421+628</f>
        <v>23049</v>
      </c>
    </row>
    <row r="2956" spans="1:8" s="2" customFormat="1">
      <c r="A2956" s="5" t="s">
        <v>819</v>
      </c>
      <c r="B2956" s="2" t="s">
        <v>1634</v>
      </c>
      <c r="C2956" s="9" t="s">
        <v>2877</v>
      </c>
      <c r="D2956" s="2">
        <v>110000</v>
      </c>
      <c r="E2956" s="20">
        <v>700000</v>
      </c>
      <c r="F2956" s="2">
        <v>610410</v>
      </c>
      <c r="G2956" s="32">
        <f>28770+806</f>
        <v>29576</v>
      </c>
      <c r="H2956" s="32">
        <f>28770+806</f>
        <v>29576</v>
      </c>
    </row>
    <row r="2957" spans="1:8" s="2" customFormat="1">
      <c r="A2957" s="5" t="s">
        <v>820</v>
      </c>
      <c r="B2957" s="9" t="s">
        <v>2878</v>
      </c>
      <c r="C2957" s="9" t="s">
        <v>2879</v>
      </c>
      <c r="D2957" s="2">
        <v>110000</v>
      </c>
      <c r="E2957" s="20">
        <v>700000</v>
      </c>
      <c r="F2957" s="2">
        <v>610410</v>
      </c>
      <c r="G2957" s="32">
        <f>13657+382</f>
        <v>14039</v>
      </c>
      <c r="H2957" s="32">
        <f>13657+382</f>
        <v>14039</v>
      </c>
    </row>
    <row r="2958" spans="1:8" s="2" customFormat="1">
      <c r="A2958" s="5"/>
      <c r="D2958" s="2">
        <v>110000</v>
      </c>
      <c r="E2958" s="20" t="s">
        <v>495</v>
      </c>
      <c r="F2958" s="2">
        <v>610410</v>
      </c>
      <c r="G2958" s="32">
        <f>13656+382</f>
        <v>14038</v>
      </c>
      <c r="H2958" s="32">
        <v>0</v>
      </c>
    </row>
    <row r="2959" spans="1:8" s="2" customFormat="1">
      <c r="A2959" s="5"/>
      <c r="B2959" s="9"/>
      <c r="E2959" s="2" t="s">
        <v>2880</v>
      </c>
      <c r="G2959" s="32">
        <f>G2957+G2958</f>
        <v>28077</v>
      </c>
      <c r="H2959" s="32">
        <f>H2957+H2958</f>
        <v>14039</v>
      </c>
    </row>
    <row r="2960" spans="1:8" s="2" customFormat="1">
      <c r="A2960" s="5"/>
      <c r="C2960" s="2" t="s">
        <v>1611</v>
      </c>
      <c r="D2960" s="2">
        <v>110000</v>
      </c>
      <c r="E2960" s="20">
        <v>700000</v>
      </c>
      <c r="F2960" s="2">
        <v>620000</v>
      </c>
      <c r="G2960" s="32">
        <v>2774</v>
      </c>
      <c r="H2960" s="32">
        <v>2774</v>
      </c>
    </row>
    <row r="2961" spans="1:8" s="2" customFormat="1">
      <c r="A2961" s="5"/>
      <c r="B2961" s="9"/>
      <c r="C2961" s="2" t="s">
        <v>2950</v>
      </c>
      <c r="D2961" s="2">
        <v>110000</v>
      </c>
      <c r="E2961" s="20">
        <v>700000</v>
      </c>
      <c r="F2961" s="2">
        <v>610000</v>
      </c>
      <c r="G2961" s="36"/>
      <c r="H2961" s="36"/>
    </row>
    <row r="2962" spans="1:8" s="2" customFormat="1">
      <c r="A2962" s="5"/>
      <c r="C2962" s="2" t="s">
        <v>2951</v>
      </c>
      <c r="D2962" s="2">
        <v>110000</v>
      </c>
      <c r="E2962" s="20">
        <v>700000</v>
      </c>
      <c r="F2962" s="2">
        <v>630000</v>
      </c>
      <c r="G2962" s="32">
        <f>(SUM(G2952:G2958)*0.2)+G2960*0.08</f>
        <v>59753.32</v>
      </c>
      <c r="H2962" s="32">
        <f>(SUM(H2952:H2958)*0.2)+H2960*0.08</f>
        <v>56945.72</v>
      </c>
    </row>
    <row r="2963" spans="1:8" s="2" customFormat="1">
      <c r="A2963" s="5"/>
      <c r="C2963" s="8" t="s">
        <v>1129</v>
      </c>
      <c r="E2963" s="20"/>
      <c r="G2963" s="32">
        <f>SUM(G2952:G2962)-G2959</f>
        <v>360184.32000000001</v>
      </c>
      <c r="H2963" s="32">
        <f>SUM(H2952:H2962)-H2959</f>
        <v>343338.72</v>
      </c>
    </row>
    <row r="2964" spans="1:8" s="2" customFormat="1">
      <c r="A2964" s="5"/>
      <c r="C2964" s="9" t="s">
        <v>2234</v>
      </c>
      <c r="D2964" s="2">
        <v>110000</v>
      </c>
      <c r="E2964" s="20">
        <v>700000</v>
      </c>
      <c r="F2964" s="2">
        <v>710000</v>
      </c>
      <c r="G2964" s="33">
        <v>47458</v>
      </c>
      <c r="H2964" s="33">
        <v>47458</v>
      </c>
    </row>
    <row r="2965" spans="1:8" s="2" customFormat="1">
      <c r="A2965" s="5"/>
      <c r="C2965" s="8" t="s">
        <v>2235</v>
      </c>
      <c r="E2965" s="20"/>
      <c r="G2965" s="32">
        <f>G2963+G2964</f>
        <v>407642.32</v>
      </c>
      <c r="H2965" s="32">
        <f>H2963+H2964</f>
        <v>390796.72</v>
      </c>
    </row>
    <row r="2966" spans="1:8" s="2" customFormat="1">
      <c r="A2966" s="5"/>
      <c r="C2966" s="12"/>
      <c r="E2966" s="20"/>
      <c r="G2966" s="33"/>
      <c r="H2966" s="33"/>
    </row>
    <row r="2967" spans="1:8" s="2" customFormat="1">
      <c r="A2967" s="5" t="s">
        <v>462</v>
      </c>
      <c r="B2967" s="2" t="s">
        <v>2492</v>
      </c>
      <c r="E2967" s="20"/>
      <c r="G2967" s="32"/>
      <c r="H2967" s="32"/>
    </row>
    <row r="2968" spans="1:8" s="2" customFormat="1">
      <c r="A2968" s="5"/>
      <c r="E2968" s="20"/>
      <c r="G2968" s="32"/>
      <c r="H2968" s="32"/>
    </row>
    <row r="2969" spans="1:8" s="2" customFormat="1">
      <c r="A2969" s="5"/>
      <c r="C2969" s="2" t="s">
        <v>2234</v>
      </c>
      <c r="D2969" s="2">
        <v>110000</v>
      </c>
      <c r="E2969" s="20" t="s">
        <v>462</v>
      </c>
      <c r="F2969" s="2">
        <v>710000</v>
      </c>
      <c r="G2969" s="32">
        <v>2550</v>
      </c>
      <c r="H2969" s="32">
        <v>2550</v>
      </c>
    </row>
    <row r="2970" spans="1:8" s="2" customFormat="1">
      <c r="A2970" s="5"/>
      <c r="C2970" s="8" t="s">
        <v>2235</v>
      </c>
      <c r="E2970" s="20"/>
      <c r="G2970" s="32">
        <v>2550</v>
      </c>
      <c r="H2970" s="32">
        <v>2550</v>
      </c>
    </row>
    <row r="2971" spans="1:8" s="2" customFormat="1">
      <c r="A2971" s="5"/>
      <c r="E2971" s="20"/>
      <c r="G2971" s="32"/>
      <c r="H2971" s="32"/>
    </row>
    <row r="2972" spans="1:8" s="2" customFormat="1">
      <c r="A2972" s="15">
        <v>700000</v>
      </c>
      <c r="B2972" s="2" t="s">
        <v>306</v>
      </c>
      <c r="D2972" s="26"/>
      <c r="G2972" s="32"/>
      <c r="H2972" s="32"/>
    </row>
    <row r="2973" spans="1:8" s="2" customFormat="1">
      <c r="D2973" s="26"/>
      <c r="G2973" s="32"/>
      <c r="H2973" s="32"/>
    </row>
    <row r="2974" spans="1:8" s="2" customFormat="1">
      <c r="A2974" s="15" t="s">
        <v>307</v>
      </c>
      <c r="C2974" s="2" t="s">
        <v>308</v>
      </c>
      <c r="D2974" s="26">
        <v>110000</v>
      </c>
      <c r="E2974" s="2">
        <v>700000</v>
      </c>
      <c r="F2974" s="19">
        <v>799999</v>
      </c>
      <c r="G2974" s="32">
        <f>1239280-818128</f>
        <v>421152</v>
      </c>
      <c r="H2974" s="32">
        <f>1239280-818128</f>
        <v>421152</v>
      </c>
    </row>
    <row r="2975" spans="1:8" s="2" customFormat="1">
      <c r="A2975" s="15" t="s">
        <v>309</v>
      </c>
      <c r="C2975" s="2" t="s">
        <v>2063</v>
      </c>
      <c r="D2975" s="26">
        <v>110000</v>
      </c>
      <c r="E2975" s="2">
        <v>700000</v>
      </c>
      <c r="F2975" s="19">
        <v>799999</v>
      </c>
      <c r="G2975" s="32">
        <v>16895</v>
      </c>
      <c r="H2975" s="32">
        <v>16895</v>
      </c>
    </row>
    <row r="2976" spans="1:8" s="2" customFormat="1">
      <c r="A2976" s="15"/>
      <c r="C2976" s="2" t="s">
        <v>1831</v>
      </c>
      <c r="D2976" s="26">
        <v>110000</v>
      </c>
      <c r="E2976" s="2">
        <v>700000</v>
      </c>
      <c r="F2976" s="19">
        <v>799999</v>
      </c>
      <c r="G2976" s="32">
        <v>141892</v>
      </c>
      <c r="H2976" s="32">
        <v>141892</v>
      </c>
    </row>
    <row r="2977" spans="1:8" s="2" customFormat="1">
      <c r="A2977" s="15"/>
      <c r="C2977" s="2" t="s">
        <v>1490</v>
      </c>
      <c r="D2977" s="26">
        <v>110000</v>
      </c>
      <c r="E2977" s="2">
        <v>700000</v>
      </c>
      <c r="F2977" s="19">
        <v>799999</v>
      </c>
      <c r="G2977" s="32">
        <f>0+53500+145285+99261+276434+134000</f>
        <v>708480</v>
      </c>
      <c r="H2977" s="32">
        <f>53500+145285+276434+134000+99261</f>
        <v>708480</v>
      </c>
    </row>
    <row r="2978" spans="1:8" s="2" customFormat="1">
      <c r="A2978" s="15"/>
      <c r="C2978" s="2" t="s">
        <v>2951</v>
      </c>
      <c r="D2978" s="26">
        <v>110000</v>
      </c>
      <c r="E2978" s="2">
        <v>700000</v>
      </c>
      <c r="F2978" s="19">
        <v>799999</v>
      </c>
      <c r="G2978" s="32">
        <f>(G2974+G2976+G2977)*0.21+G2975*0.18+10453</f>
        <v>280514.13999999996</v>
      </c>
      <c r="H2978" s="32">
        <f>(H2974+H2976+H2977)*0.21+H2975*0.18+10453</f>
        <v>280514.13999999996</v>
      </c>
    </row>
    <row r="2979" spans="1:8" s="2" customFormat="1">
      <c r="A2979" s="15"/>
      <c r="C2979" s="8" t="s">
        <v>1129</v>
      </c>
      <c r="D2979" s="26"/>
      <c r="G2979" s="32">
        <f>SUM(G2974:G2978)</f>
        <v>1568933.14</v>
      </c>
      <c r="H2979" s="32">
        <f>SUM(H2974:H2978)</f>
        <v>1568933.14</v>
      </c>
    </row>
    <row r="2980" spans="1:8" s="2" customFormat="1">
      <c r="A2980" s="15"/>
      <c r="C2980" s="15" t="s">
        <v>1491</v>
      </c>
      <c r="D2980" s="26">
        <v>110000</v>
      </c>
      <c r="E2980" s="2">
        <v>700000</v>
      </c>
      <c r="F2980" s="2">
        <v>799999</v>
      </c>
      <c r="G2980" s="32">
        <v>-241920</v>
      </c>
      <c r="H2980" s="32">
        <v>-241920</v>
      </c>
    </row>
    <row r="2981" spans="1:8" s="2" customFormat="1">
      <c r="A2981" s="15"/>
      <c r="C2981" s="8" t="s">
        <v>2235</v>
      </c>
      <c r="D2981" s="26"/>
      <c r="G2981" s="32">
        <f>+G2979+G2980</f>
        <v>1327013.1399999999</v>
      </c>
      <c r="H2981" s="32">
        <f>+H2979+H2980</f>
        <v>1327013.1399999999</v>
      </c>
    </row>
    <row r="2982" spans="1:8" s="2" customFormat="1">
      <c r="D2982" s="26"/>
      <c r="G2982" s="32"/>
      <c r="H2982" s="32"/>
    </row>
    <row r="2983" spans="1:8" s="2" customFormat="1">
      <c r="A2983" s="15">
        <v>700000</v>
      </c>
      <c r="B2983" s="2" t="s">
        <v>310</v>
      </c>
      <c r="D2983" s="26"/>
      <c r="G2983" s="32"/>
      <c r="H2983" s="32"/>
    </row>
    <row r="2984" spans="1:8" s="2" customFormat="1">
      <c r="D2984" s="26"/>
      <c r="G2984" s="32"/>
      <c r="H2984" s="32"/>
    </row>
    <row r="2985" spans="1:8" s="2" customFormat="1">
      <c r="A2985" s="15">
        <v>800009</v>
      </c>
      <c r="B2985" s="2" t="s">
        <v>2905</v>
      </c>
      <c r="D2985" s="26">
        <v>110000</v>
      </c>
      <c r="E2985" s="2">
        <v>700000</v>
      </c>
      <c r="F2985" s="19">
        <v>610120</v>
      </c>
      <c r="G2985" s="32">
        <v>18278</v>
      </c>
      <c r="H2985" s="32">
        <v>18278</v>
      </c>
    </row>
    <row r="2986" spans="1:8" s="2" customFormat="1">
      <c r="A2986" s="15"/>
      <c r="B2986" s="2" t="s">
        <v>2906</v>
      </c>
      <c r="D2986" s="26">
        <v>110000</v>
      </c>
      <c r="E2986" s="2">
        <v>700000</v>
      </c>
      <c r="F2986" s="19">
        <v>610120</v>
      </c>
      <c r="G2986" s="32">
        <v>39953</v>
      </c>
      <c r="H2986" s="32">
        <v>39953</v>
      </c>
    </row>
    <row r="2987" spans="1:8" s="2" customFormat="1">
      <c r="A2987" s="15">
        <v>800010</v>
      </c>
      <c r="B2987" s="2" t="s">
        <v>2907</v>
      </c>
      <c r="D2987" s="26">
        <v>110000</v>
      </c>
      <c r="E2987" s="2">
        <v>700000</v>
      </c>
      <c r="F2987" s="19">
        <v>610120</v>
      </c>
      <c r="G2987" s="32">
        <v>36249</v>
      </c>
      <c r="H2987" s="32">
        <v>36249</v>
      </c>
    </row>
    <row r="2988" spans="1:8" s="2" customFormat="1">
      <c r="A2988" s="15"/>
      <c r="B2988" s="2" t="s">
        <v>2787</v>
      </c>
      <c r="D2988" s="26">
        <v>110000</v>
      </c>
      <c r="E2988" s="2">
        <v>700000</v>
      </c>
      <c r="F2988" s="19">
        <v>610120</v>
      </c>
      <c r="G2988" s="32">
        <v>54244</v>
      </c>
      <c r="H2988" s="32">
        <v>54244</v>
      </c>
    </row>
    <row r="2989" spans="1:8" s="2" customFormat="1">
      <c r="A2989" s="15">
        <v>800007</v>
      </c>
      <c r="B2989" s="2" t="s">
        <v>311</v>
      </c>
      <c r="D2989" s="26">
        <v>110000</v>
      </c>
      <c r="E2989" s="2">
        <v>700000</v>
      </c>
      <c r="F2989" s="19">
        <v>610120</v>
      </c>
      <c r="G2989" s="32">
        <v>16791</v>
      </c>
      <c r="H2989" s="32">
        <v>16791</v>
      </c>
    </row>
    <row r="2990" spans="1:8" s="2" customFormat="1">
      <c r="A2990" s="15"/>
      <c r="B2990" s="2" t="s">
        <v>138</v>
      </c>
      <c r="D2990" s="26">
        <v>110000</v>
      </c>
      <c r="E2990" s="2">
        <v>700000</v>
      </c>
      <c r="F2990" s="19">
        <v>610120</v>
      </c>
      <c r="G2990" s="32">
        <v>51329</v>
      </c>
      <c r="H2990" s="32">
        <v>51329</v>
      </c>
    </row>
    <row r="2991" spans="1:8" s="2" customFormat="1">
      <c r="A2991" s="15"/>
      <c r="B2991" s="2" t="s">
        <v>105</v>
      </c>
      <c r="D2991" s="26">
        <v>110000</v>
      </c>
      <c r="E2991" s="2">
        <v>700000</v>
      </c>
      <c r="F2991" s="19">
        <v>610120</v>
      </c>
      <c r="G2991" s="32">
        <v>56281</v>
      </c>
      <c r="H2991" s="32">
        <v>56281</v>
      </c>
    </row>
    <row r="2992" spans="1:8" s="2" customFormat="1">
      <c r="A2992" s="15"/>
      <c r="D2992" s="26">
        <v>110000</v>
      </c>
      <c r="E2992" s="2">
        <v>700000</v>
      </c>
      <c r="F2992" s="19">
        <v>610120</v>
      </c>
      <c r="G2992" s="32">
        <v>0</v>
      </c>
      <c r="H2992" s="32">
        <v>0</v>
      </c>
    </row>
    <row r="2993" spans="1:8" s="2" customFormat="1">
      <c r="A2993" s="15"/>
      <c r="B2993" s="2" t="s">
        <v>1434</v>
      </c>
      <c r="D2993" s="26">
        <v>110000</v>
      </c>
      <c r="E2993" s="2">
        <v>700000</v>
      </c>
      <c r="F2993" s="19">
        <v>610120</v>
      </c>
      <c r="G2993" s="32"/>
      <c r="H2993" s="32"/>
    </row>
    <row r="2994" spans="1:8" s="2" customFormat="1">
      <c r="A2994" s="15"/>
      <c r="B2994" s="2" t="s">
        <v>1174</v>
      </c>
      <c r="D2994" s="26">
        <v>110000</v>
      </c>
      <c r="E2994" s="2">
        <v>700000</v>
      </c>
      <c r="F2994" s="19">
        <v>610120</v>
      </c>
      <c r="G2994" s="32"/>
      <c r="H2994" s="32"/>
    </row>
    <row r="2995" spans="1:8" s="2" customFormat="1">
      <c r="A2995" s="15"/>
      <c r="D2995" s="26">
        <v>110000</v>
      </c>
      <c r="E2995" s="2">
        <v>700000</v>
      </c>
      <c r="F2995" s="19">
        <v>610120</v>
      </c>
      <c r="G2995" s="32"/>
      <c r="H2995" s="32"/>
    </row>
    <row r="2996" spans="1:8" s="2" customFormat="1">
      <c r="A2996" s="15"/>
      <c r="B2996" s="2" t="s">
        <v>1175</v>
      </c>
      <c r="D2996" s="26">
        <v>110000</v>
      </c>
      <c r="E2996" s="2">
        <v>700000</v>
      </c>
      <c r="F2996" s="19">
        <v>610120</v>
      </c>
      <c r="G2996" s="32"/>
      <c r="H2996" s="32"/>
    </row>
    <row r="2997" spans="1:8" s="2" customFormat="1">
      <c r="A2997" s="15"/>
      <c r="B2997" s="2" t="s">
        <v>1176</v>
      </c>
      <c r="D2997" s="26">
        <v>110000</v>
      </c>
      <c r="E2997" s="2">
        <v>700000</v>
      </c>
      <c r="F2997" s="19">
        <v>610120</v>
      </c>
      <c r="G2997" s="32"/>
      <c r="H2997" s="32"/>
    </row>
    <row r="2998" spans="1:8" s="2" customFormat="1">
      <c r="A2998" s="15"/>
      <c r="B2998" s="2" t="s">
        <v>1177</v>
      </c>
      <c r="D2998" s="26">
        <v>110000</v>
      </c>
      <c r="E2998" s="2">
        <v>700000</v>
      </c>
      <c r="F2998" s="19">
        <v>610120</v>
      </c>
      <c r="G2998" s="32"/>
      <c r="H2998" s="32"/>
    </row>
    <row r="2999" spans="1:8" s="2" customFormat="1">
      <c r="A2999" s="15"/>
      <c r="D2999" s="26">
        <v>110000</v>
      </c>
      <c r="E2999" s="2">
        <v>700000</v>
      </c>
      <c r="F2999" s="19">
        <v>610120</v>
      </c>
      <c r="G2999" s="32"/>
      <c r="H2999" s="32"/>
    </row>
    <row r="3000" spans="1:8" s="2" customFormat="1">
      <c r="A3000" s="15"/>
      <c r="D3000" s="26">
        <v>110000</v>
      </c>
      <c r="E3000" s="2">
        <v>700000</v>
      </c>
      <c r="F3000" s="19">
        <v>610120</v>
      </c>
      <c r="G3000" s="32"/>
      <c r="H3000" s="32"/>
    </row>
    <row r="3001" spans="1:8" s="2" customFormat="1">
      <c r="A3001" s="15" t="s">
        <v>1179</v>
      </c>
      <c r="B3001" s="2" t="s">
        <v>1180</v>
      </c>
      <c r="D3001" s="26">
        <v>110000</v>
      </c>
      <c r="E3001" s="2">
        <v>700000</v>
      </c>
      <c r="F3001" s="19">
        <v>610120</v>
      </c>
      <c r="G3001" s="32"/>
      <c r="H3001" s="32"/>
    </row>
    <row r="3002" spans="1:8" s="2" customFormat="1">
      <c r="A3002" s="15"/>
      <c r="C3002" s="2" t="s">
        <v>2951</v>
      </c>
      <c r="D3002" s="26">
        <v>110000</v>
      </c>
      <c r="E3002" s="2">
        <v>700000</v>
      </c>
      <c r="F3002" s="19">
        <v>610120</v>
      </c>
      <c r="G3002" s="32">
        <f>3591+1936+2207+6717+31+27879+3422+2395+1466+16731+10951+10693</f>
        <v>88019</v>
      </c>
      <c r="H3002" s="32">
        <f>3591+1936+2207+6717+31+27879+3422+2395+1466+16731+10951+10693</f>
        <v>88019</v>
      </c>
    </row>
    <row r="3003" spans="1:8" s="2" customFormat="1">
      <c r="A3003" s="15"/>
      <c r="C3003" s="8" t="s">
        <v>1129</v>
      </c>
      <c r="D3003" s="26"/>
      <c r="F3003" s="19"/>
      <c r="G3003" s="32">
        <f>SUM(G2985:G3002)</f>
        <v>361144</v>
      </c>
      <c r="H3003" s="32">
        <f>SUM(H2985:H3002)</f>
        <v>361144</v>
      </c>
    </row>
    <row r="3004" spans="1:8" s="2" customFormat="1">
      <c r="A3004" s="15"/>
      <c r="C3004" s="8" t="s">
        <v>2235</v>
      </c>
      <c r="D3004" s="26"/>
      <c r="F3004" s="19"/>
      <c r="G3004" s="32">
        <f>G3003</f>
        <v>361144</v>
      </c>
      <c r="H3004" s="32">
        <f>H3003</f>
        <v>361144</v>
      </c>
    </row>
    <row r="3005" spans="1:8" s="2" customFormat="1">
      <c r="A3005" s="15"/>
      <c r="C3005" s="8"/>
      <c r="D3005" s="26"/>
      <c r="F3005" s="19"/>
      <c r="G3005" s="32"/>
      <c r="H3005" s="32"/>
    </row>
    <row r="3006" spans="1:8" s="2" customFormat="1">
      <c r="A3006" s="6" t="s">
        <v>488</v>
      </c>
      <c r="B3006" s="2" t="s">
        <v>2750</v>
      </c>
      <c r="E3006" s="20"/>
      <c r="G3006" s="32"/>
      <c r="H3006" s="32"/>
    </row>
    <row r="3007" spans="1:8">
      <c r="A3007" s="5"/>
      <c r="B3007" s="2"/>
      <c r="C3007" s="2"/>
      <c r="D3007" s="2"/>
      <c r="E3007" s="20"/>
      <c r="F3007" s="2"/>
      <c r="G3007" s="32"/>
      <c r="H3007" s="32"/>
    </row>
    <row r="3008" spans="1:8" s="2" customFormat="1">
      <c r="A3008" s="5" t="s">
        <v>2313</v>
      </c>
      <c r="B3008" s="2" t="s">
        <v>2263</v>
      </c>
      <c r="C3008" s="9" t="s">
        <v>2884</v>
      </c>
      <c r="D3008" s="2">
        <v>110000</v>
      </c>
      <c r="E3008" s="20" t="s">
        <v>488</v>
      </c>
      <c r="F3008" s="2">
        <v>610210</v>
      </c>
      <c r="G3008" s="32">
        <f>25154+704</f>
        <v>25858</v>
      </c>
      <c r="H3008" s="32">
        <f>25154+704</f>
        <v>25858</v>
      </c>
    </row>
    <row r="3009" spans="1:8" s="2" customFormat="1">
      <c r="A3009" s="5"/>
      <c r="C3009" s="9" t="s">
        <v>2950</v>
      </c>
      <c r="D3009" s="2">
        <v>110000</v>
      </c>
      <c r="E3009" s="20" t="s">
        <v>488</v>
      </c>
      <c r="F3009" s="2">
        <v>610000</v>
      </c>
      <c r="G3009" s="36"/>
      <c r="H3009" s="36"/>
    </row>
    <row r="3010" spans="1:8" s="2" customFormat="1">
      <c r="A3010" s="5"/>
      <c r="C3010" s="9" t="s">
        <v>2951</v>
      </c>
      <c r="D3010" s="2">
        <v>110000</v>
      </c>
      <c r="E3010" s="20" t="s">
        <v>488</v>
      </c>
      <c r="F3010" s="2">
        <v>630000</v>
      </c>
      <c r="G3010" s="32">
        <f>SUM(G3008:G3009)*0.18</f>
        <v>4654.4399999999996</v>
      </c>
      <c r="H3010" s="32">
        <f>SUM(H3008:H3009)*0.18</f>
        <v>4654.4399999999996</v>
      </c>
    </row>
    <row r="3011" spans="1:8" s="2" customFormat="1">
      <c r="A3011" s="5"/>
      <c r="C3011" s="12" t="s">
        <v>1129</v>
      </c>
      <c r="E3011" s="20"/>
      <c r="G3011" s="32">
        <f>SUM(G3008:G3010)</f>
        <v>30512.44</v>
      </c>
      <c r="H3011" s="32">
        <f>SUM(H3008:H3010)</f>
        <v>30512.44</v>
      </c>
    </row>
    <row r="3012" spans="1:8" s="2" customFormat="1">
      <c r="A3012" s="5"/>
      <c r="C3012" s="9" t="s">
        <v>2234</v>
      </c>
      <c r="D3012" s="2">
        <v>110000</v>
      </c>
      <c r="E3012" s="20" t="s">
        <v>488</v>
      </c>
      <c r="F3012" s="2">
        <v>710000</v>
      </c>
      <c r="G3012" s="32">
        <f>105579-5431</f>
        <v>100148</v>
      </c>
      <c r="H3012" s="32">
        <f>105579-5431</f>
        <v>100148</v>
      </c>
    </row>
    <row r="3013" spans="1:8" s="2" customFormat="1">
      <c r="A3013" s="5"/>
      <c r="C3013" s="12" t="s">
        <v>2235</v>
      </c>
      <c r="E3013" s="20"/>
      <c r="G3013" s="32">
        <f>SUM(G3011:G3012)</f>
        <v>130660.44</v>
      </c>
      <c r="H3013" s="32">
        <f>SUM(H3011:H3012)</f>
        <v>130660.44</v>
      </c>
    </row>
    <row r="3014" spans="1:8" s="2" customFormat="1">
      <c r="A3014" s="5"/>
      <c r="C3014" s="12"/>
      <c r="E3014" s="20"/>
      <c r="G3014" s="32"/>
      <c r="H3014" s="32"/>
    </row>
    <row r="3015" spans="1:8" s="2" customFormat="1">
      <c r="A3015" s="15">
        <v>710000</v>
      </c>
      <c r="B3015" s="2" t="s">
        <v>1181</v>
      </c>
      <c r="D3015" s="26"/>
      <c r="G3015" s="32"/>
      <c r="H3015" s="32"/>
    </row>
    <row r="3016" spans="1:8" s="2" customFormat="1">
      <c r="A3016" s="15"/>
      <c r="D3016" s="26"/>
      <c r="G3016" s="32"/>
      <c r="H3016" s="32"/>
    </row>
    <row r="3017" spans="1:8" s="2" customFormat="1">
      <c r="A3017" s="15"/>
      <c r="C3017" s="2" t="s">
        <v>2950</v>
      </c>
      <c r="D3017" s="26">
        <v>110000</v>
      </c>
      <c r="E3017" s="2">
        <v>710000</v>
      </c>
      <c r="F3017" s="2">
        <v>610000</v>
      </c>
      <c r="G3017" s="32">
        <f>60000-2400</f>
        <v>57600</v>
      </c>
      <c r="H3017" s="32">
        <f>60000-2400</f>
        <v>57600</v>
      </c>
    </row>
    <row r="3018" spans="1:8" s="2" customFormat="1">
      <c r="A3018" s="15"/>
      <c r="C3018" s="8" t="s">
        <v>2235</v>
      </c>
      <c r="D3018" s="26"/>
      <c r="G3018" s="32">
        <f>SUM(G3017)</f>
        <v>57600</v>
      </c>
      <c r="H3018" s="32">
        <f>SUM(H3017)</f>
        <v>57600</v>
      </c>
    </row>
    <row r="3019" spans="1:8" s="2" customFormat="1">
      <c r="A3019" s="15"/>
      <c r="D3019" s="26"/>
      <c r="G3019" s="32"/>
      <c r="H3019" s="32"/>
    </row>
    <row r="3020" spans="1:8" s="2" customFormat="1">
      <c r="A3020" s="5" t="s">
        <v>499</v>
      </c>
      <c r="B3020" s="2" t="s">
        <v>546</v>
      </c>
      <c r="E3020" s="20"/>
      <c r="G3020" s="32"/>
      <c r="H3020" s="32"/>
    </row>
    <row r="3021" spans="1:8" s="2" customFormat="1">
      <c r="A3021" s="5"/>
      <c r="E3021" s="20"/>
      <c r="G3021" s="32"/>
      <c r="H3021" s="32"/>
    </row>
    <row r="3022" spans="1:8" s="2" customFormat="1">
      <c r="A3022" s="5" t="s">
        <v>2369</v>
      </c>
      <c r="B3022" s="2" t="s">
        <v>547</v>
      </c>
      <c r="C3022" s="2" t="s">
        <v>760</v>
      </c>
      <c r="D3022" s="2">
        <v>110000</v>
      </c>
      <c r="E3022" s="20" t="s">
        <v>499</v>
      </c>
      <c r="F3022" s="2">
        <v>610110</v>
      </c>
      <c r="G3022" s="32">
        <f>39468+1184</f>
        <v>40652</v>
      </c>
      <c r="H3022" s="32">
        <f>39468+1184</f>
        <v>40652</v>
      </c>
    </row>
    <row r="3023" spans="1:8" s="2" customFormat="1">
      <c r="A3023" s="5"/>
      <c r="D3023" s="2">
        <v>110000</v>
      </c>
      <c r="E3023" s="20" t="s">
        <v>3033</v>
      </c>
      <c r="F3023" s="2">
        <v>610110</v>
      </c>
      <c r="G3023" s="32">
        <f>26320+495</f>
        <v>26815</v>
      </c>
      <c r="H3023" s="32"/>
    </row>
    <row r="3024" spans="1:8" s="2" customFormat="1">
      <c r="A3024" s="5"/>
      <c r="E3024" s="5" t="s">
        <v>2880</v>
      </c>
      <c r="G3024" s="32">
        <f>G3022+G3023</f>
        <v>67467</v>
      </c>
      <c r="H3024" s="32">
        <f>H3022+H3023</f>
        <v>40652</v>
      </c>
    </row>
    <row r="3025" spans="1:8" s="2" customFormat="1">
      <c r="A3025" s="5" t="s">
        <v>2370</v>
      </c>
      <c r="B3025" s="2" t="s">
        <v>548</v>
      </c>
      <c r="C3025" s="2" t="s">
        <v>2884</v>
      </c>
      <c r="D3025" s="2">
        <v>110000</v>
      </c>
      <c r="E3025" s="20" t="s">
        <v>499</v>
      </c>
      <c r="F3025" s="2">
        <v>610210</v>
      </c>
      <c r="G3025" s="32">
        <f>29796+894</f>
        <v>30690</v>
      </c>
      <c r="H3025" s="32">
        <f>29796+894</f>
        <v>30690</v>
      </c>
    </row>
    <row r="3026" spans="1:8" s="2" customFormat="1">
      <c r="A3026" s="5" t="s">
        <v>2371</v>
      </c>
      <c r="B3026" s="2" t="s">
        <v>2762</v>
      </c>
      <c r="C3026" s="2" t="s">
        <v>1609</v>
      </c>
      <c r="D3026" s="2">
        <v>110000</v>
      </c>
      <c r="E3026" s="20" t="s">
        <v>499</v>
      </c>
      <c r="F3026" s="2">
        <v>610410</v>
      </c>
      <c r="G3026" s="32">
        <f>16273+456</f>
        <v>16729</v>
      </c>
      <c r="H3026" s="32">
        <f>16273+456</f>
        <v>16729</v>
      </c>
    </row>
    <row r="3027" spans="1:8" s="2" customFormat="1">
      <c r="A3027" s="5"/>
      <c r="C3027" s="2" t="s">
        <v>1611</v>
      </c>
      <c r="D3027" s="2">
        <v>110000</v>
      </c>
      <c r="E3027" s="20" t="s">
        <v>499</v>
      </c>
      <c r="F3027" s="2">
        <v>620000</v>
      </c>
      <c r="G3027" s="32"/>
      <c r="H3027" s="32"/>
    </row>
    <row r="3028" spans="1:8" s="2" customFormat="1">
      <c r="A3028" s="5"/>
      <c r="C3028" s="2" t="s">
        <v>2950</v>
      </c>
      <c r="D3028" s="2">
        <v>110000</v>
      </c>
      <c r="E3028" s="20" t="s">
        <v>499</v>
      </c>
      <c r="F3028" s="2">
        <v>610000</v>
      </c>
      <c r="G3028" s="32"/>
      <c r="H3028" s="32"/>
    </row>
    <row r="3029" spans="1:8" s="2" customFormat="1">
      <c r="A3029" s="5"/>
      <c r="C3029" s="2" t="s">
        <v>2951</v>
      </c>
      <c r="D3029" s="2">
        <v>110000</v>
      </c>
      <c r="E3029" s="20" t="s">
        <v>499</v>
      </c>
      <c r="F3029" s="2">
        <v>630000</v>
      </c>
      <c r="G3029" s="32">
        <f>(SUM(G3022:G3028)-G3024)*0.16</f>
        <v>18381.760000000002</v>
      </c>
      <c r="H3029" s="32">
        <f>(SUM(H3022:H3028)-H3024)*0.16</f>
        <v>14091.36</v>
      </c>
    </row>
    <row r="3030" spans="1:8" s="2" customFormat="1">
      <c r="A3030" s="5"/>
      <c r="C3030" s="8" t="s">
        <v>1129</v>
      </c>
      <c r="E3030" s="20"/>
      <c r="G3030" s="32">
        <f>SUM(G3022:G3029)-G3024</f>
        <v>133267.76</v>
      </c>
      <c r="H3030" s="32">
        <f>SUM(H3022:H3029)-H3024</f>
        <v>102162.35999999999</v>
      </c>
    </row>
    <row r="3031" spans="1:8" s="2" customFormat="1">
      <c r="A3031" s="5"/>
      <c r="C3031" s="2" t="s">
        <v>2234</v>
      </c>
      <c r="D3031" s="2">
        <v>110000</v>
      </c>
      <c r="E3031" s="20" t="s">
        <v>499</v>
      </c>
      <c r="F3031" s="2">
        <v>710000</v>
      </c>
      <c r="G3031" s="32">
        <v>16211</v>
      </c>
      <c r="H3031" s="32">
        <v>16211</v>
      </c>
    </row>
    <row r="3032" spans="1:8" s="2" customFormat="1">
      <c r="A3032" s="5"/>
      <c r="C3032" s="8" t="s">
        <v>2235</v>
      </c>
      <c r="E3032" s="20"/>
      <c r="G3032" s="32">
        <f>G3030+G3031</f>
        <v>149478.76</v>
      </c>
      <c r="H3032" s="32">
        <f>H3030+H3031</f>
        <v>118373.35999999999</v>
      </c>
    </row>
    <row r="3033" spans="1:8" s="2" customFormat="1">
      <c r="A3033" s="5"/>
      <c r="E3033" s="20"/>
      <c r="G3033" s="32"/>
      <c r="H3033" s="32"/>
    </row>
    <row r="3034" spans="1:8" s="2" customFormat="1">
      <c r="A3034" s="5" t="s">
        <v>499</v>
      </c>
      <c r="B3034" s="2" t="s">
        <v>1486</v>
      </c>
      <c r="E3034" s="20"/>
      <c r="G3034" s="32"/>
      <c r="H3034" s="32"/>
    </row>
    <row r="3035" spans="1:8" s="2" customFormat="1">
      <c r="A3035" s="5"/>
      <c r="E3035" s="20"/>
      <c r="G3035" s="32"/>
      <c r="H3035" s="32"/>
    </row>
    <row r="3036" spans="1:8" s="2" customFormat="1">
      <c r="A3036" s="5"/>
      <c r="C3036" s="2" t="s">
        <v>2234</v>
      </c>
      <c r="D3036" s="2">
        <v>110000</v>
      </c>
      <c r="E3036" s="20" t="s">
        <v>499</v>
      </c>
      <c r="F3036" s="2">
        <v>710000</v>
      </c>
      <c r="G3036" s="32">
        <v>63750</v>
      </c>
      <c r="H3036" s="32">
        <v>63750</v>
      </c>
    </row>
    <row r="3037" spans="1:8" s="2" customFormat="1">
      <c r="A3037" s="5"/>
      <c r="C3037" s="8" t="s">
        <v>2235</v>
      </c>
      <c r="E3037" s="20"/>
      <c r="G3037" s="32">
        <v>63750</v>
      </c>
      <c r="H3037" s="32">
        <v>63750</v>
      </c>
    </row>
    <row r="3038" spans="1:8" s="2" customFormat="1">
      <c r="A3038" s="5"/>
      <c r="E3038" s="20"/>
      <c r="G3038" s="32"/>
      <c r="H3038" s="32"/>
    </row>
    <row r="3039" spans="1:8" s="2" customFormat="1">
      <c r="A3039" s="15">
        <v>720000</v>
      </c>
      <c r="B3039" s="2" t="s">
        <v>540</v>
      </c>
      <c r="D3039" s="26"/>
      <c r="G3039" s="32"/>
      <c r="H3039" s="32"/>
    </row>
    <row r="3040" spans="1:8" s="2" customFormat="1">
      <c r="A3040" s="15"/>
      <c r="D3040" s="26"/>
      <c r="G3040" s="32"/>
      <c r="H3040" s="32"/>
    </row>
    <row r="3041" spans="1:8" s="2" customFormat="1">
      <c r="A3041" s="15"/>
      <c r="C3041" s="2" t="s">
        <v>541</v>
      </c>
      <c r="D3041" s="26">
        <v>110000</v>
      </c>
      <c r="E3041" s="2">
        <v>720000</v>
      </c>
      <c r="F3041" s="2">
        <v>710000</v>
      </c>
      <c r="G3041" s="32">
        <v>300340</v>
      </c>
      <c r="H3041" s="32">
        <v>300340</v>
      </c>
    </row>
    <row r="3042" spans="1:8" s="2" customFormat="1">
      <c r="A3042" s="15"/>
      <c r="C3042" s="8" t="s">
        <v>2235</v>
      </c>
      <c r="D3042" s="26"/>
      <c r="G3042" s="32">
        <f>G3041</f>
        <v>300340</v>
      </c>
      <c r="H3042" s="32">
        <f>H3041</f>
        <v>300340</v>
      </c>
    </row>
    <row r="3043" spans="1:8" s="2" customFormat="1">
      <c r="A3043" s="15"/>
      <c r="D3043" s="26"/>
      <c r="G3043" s="32"/>
      <c r="H3043" s="32"/>
    </row>
    <row r="3044" spans="1:8" s="2" customFormat="1">
      <c r="A3044" s="5" t="s">
        <v>496</v>
      </c>
      <c r="B3044" s="2" t="s">
        <v>3212</v>
      </c>
      <c r="E3044" s="20"/>
      <c r="G3044" s="32"/>
      <c r="H3044" s="32"/>
    </row>
    <row r="3045" spans="1:8" s="2" customFormat="1">
      <c r="A3045" s="5"/>
      <c r="E3045" s="20"/>
      <c r="G3045" s="32"/>
      <c r="H3045" s="32"/>
    </row>
    <row r="3046" spans="1:8" s="2" customFormat="1">
      <c r="A3046" s="5"/>
      <c r="C3046" s="2" t="s">
        <v>2234</v>
      </c>
      <c r="D3046" s="2">
        <v>110000</v>
      </c>
      <c r="E3046" s="20" t="s">
        <v>496</v>
      </c>
      <c r="F3046" s="2">
        <v>710000</v>
      </c>
      <c r="G3046" s="32">
        <v>10005</v>
      </c>
      <c r="H3046" s="32">
        <v>10005</v>
      </c>
    </row>
    <row r="3047" spans="1:8" s="2" customFormat="1">
      <c r="A3047" s="5"/>
      <c r="C3047" s="8" t="s">
        <v>2235</v>
      </c>
      <c r="E3047" s="20"/>
      <c r="G3047" s="32">
        <v>10005</v>
      </c>
      <c r="H3047" s="32">
        <v>10005</v>
      </c>
    </row>
    <row r="3048" spans="1:8" s="2" customFormat="1" ht="12" customHeight="1">
      <c r="A3048" s="5"/>
      <c r="E3048" s="20"/>
      <c r="G3048" s="32"/>
      <c r="H3048" s="32"/>
    </row>
    <row r="3049" spans="1:8" s="2" customFormat="1">
      <c r="A3049" s="6" t="s">
        <v>496</v>
      </c>
      <c r="B3049" s="2" t="s">
        <v>503</v>
      </c>
      <c r="D3049" s="26"/>
      <c r="G3049" s="32"/>
      <c r="H3049" s="32"/>
    </row>
    <row r="3050" spans="1:8" s="2" customFormat="1">
      <c r="D3050" s="26"/>
      <c r="G3050" s="32"/>
      <c r="H3050" s="32"/>
    </row>
    <row r="3051" spans="1:8" s="2" customFormat="1">
      <c r="A3051" s="5" t="s">
        <v>504</v>
      </c>
      <c r="C3051" s="2" t="s">
        <v>505</v>
      </c>
      <c r="D3051" s="26">
        <v>110000</v>
      </c>
      <c r="E3051" s="2">
        <v>730000</v>
      </c>
      <c r="F3051" s="2">
        <v>610510</v>
      </c>
      <c r="G3051" s="32">
        <v>415354</v>
      </c>
      <c r="H3051" s="32">
        <v>415354</v>
      </c>
    </row>
    <row r="3052" spans="1:8" s="2" customFormat="1">
      <c r="A3052" s="5" t="s">
        <v>506</v>
      </c>
      <c r="C3052" s="2" t="s">
        <v>2950</v>
      </c>
      <c r="D3052" s="26">
        <v>110000</v>
      </c>
      <c r="E3052" s="2">
        <v>730000</v>
      </c>
      <c r="F3052" s="2">
        <v>610000</v>
      </c>
      <c r="G3052" s="32"/>
      <c r="H3052" s="32"/>
    </row>
    <row r="3053" spans="1:8" s="2" customFormat="1">
      <c r="C3053" s="8" t="s">
        <v>1129</v>
      </c>
      <c r="D3053" s="26"/>
      <c r="G3053" s="32">
        <f>SUM(G3051:G3052)</f>
        <v>415354</v>
      </c>
      <c r="H3053" s="32">
        <f>SUM(H3051:H3052)</f>
        <v>415354</v>
      </c>
    </row>
    <row r="3054" spans="1:8" s="2" customFormat="1">
      <c r="C3054" s="8" t="s">
        <v>2235</v>
      </c>
      <c r="D3054" s="26"/>
      <c r="G3054" s="32">
        <f>G3053</f>
        <v>415354</v>
      </c>
      <c r="H3054" s="32">
        <f>H3053</f>
        <v>415354</v>
      </c>
    </row>
    <row r="3055" spans="1:8" s="2" customFormat="1">
      <c r="D3055" s="26"/>
      <c r="G3055" s="32"/>
      <c r="H3055" s="32"/>
    </row>
    <row r="3056" spans="1:8" s="2" customFormat="1">
      <c r="A3056" s="15">
        <v>730000</v>
      </c>
      <c r="B3056" s="2" t="s">
        <v>2458</v>
      </c>
      <c r="D3056" s="26"/>
      <c r="G3056" s="32"/>
      <c r="H3056" s="32"/>
    </row>
    <row r="3057" spans="1:8" s="2" customFormat="1">
      <c r="A3057" s="15"/>
      <c r="D3057" s="26"/>
      <c r="G3057" s="32"/>
      <c r="H3057" s="32"/>
    </row>
    <row r="3058" spans="1:8" s="2" customFormat="1">
      <c r="A3058" s="15"/>
      <c r="C3058" s="2" t="s">
        <v>2748</v>
      </c>
      <c r="D3058" s="26">
        <v>110000</v>
      </c>
      <c r="E3058" s="2">
        <v>730000</v>
      </c>
      <c r="F3058" s="2">
        <v>710000</v>
      </c>
      <c r="G3058" s="32">
        <v>405476</v>
      </c>
      <c r="H3058" s="32">
        <v>405476</v>
      </c>
    </row>
    <row r="3059" spans="1:8" s="2" customFormat="1">
      <c r="A3059" s="15"/>
      <c r="C3059" s="8" t="s">
        <v>2235</v>
      </c>
      <c r="D3059" s="26"/>
      <c r="G3059" s="32">
        <f>G3058</f>
        <v>405476</v>
      </c>
      <c r="H3059" s="32">
        <f>H3058</f>
        <v>405476</v>
      </c>
    </row>
    <row r="3060" spans="1:8" s="2" customFormat="1">
      <c r="A3060" s="15"/>
      <c r="D3060" s="26"/>
      <c r="G3060" s="32"/>
      <c r="H3060" s="32"/>
    </row>
    <row r="3061" spans="1:8" s="2" customFormat="1">
      <c r="A3061" s="5" t="s">
        <v>495</v>
      </c>
      <c r="B3061" s="2" t="s">
        <v>3206</v>
      </c>
      <c r="E3061" s="20"/>
      <c r="G3061" s="32"/>
      <c r="H3061" s="32"/>
    </row>
    <row r="3062" spans="1:8" s="2" customFormat="1">
      <c r="A3062" s="5"/>
      <c r="E3062" s="20"/>
      <c r="G3062" s="32"/>
      <c r="H3062" s="32"/>
    </row>
    <row r="3063" spans="1:8" s="2" customFormat="1">
      <c r="A3063" s="5" t="s">
        <v>2344</v>
      </c>
      <c r="B3063" s="2" t="s">
        <v>3207</v>
      </c>
      <c r="C3063" s="2" t="s">
        <v>2807</v>
      </c>
      <c r="D3063" s="2">
        <v>110000</v>
      </c>
      <c r="E3063" s="20" t="s">
        <v>495</v>
      </c>
      <c r="F3063" s="2">
        <v>610110</v>
      </c>
      <c r="G3063" s="32">
        <f>83820+2431</f>
        <v>86251</v>
      </c>
      <c r="H3063" s="32">
        <f>83820+2431</f>
        <v>86251</v>
      </c>
    </row>
    <row r="3064" spans="1:8" s="2" customFormat="1">
      <c r="A3064" s="5" t="s">
        <v>2345</v>
      </c>
      <c r="B3064" s="2" t="s">
        <v>3208</v>
      </c>
      <c r="C3064" s="2" t="s">
        <v>1608</v>
      </c>
      <c r="D3064" s="2">
        <v>110000</v>
      </c>
      <c r="E3064" s="20" t="s">
        <v>495</v>
      </c>
      <c r="F3064" s="2">
        <v>610210</v>
      </c>
      <c r="G3064" s="32">
        <f>33066+1002</f>
        <v>34068</v>
      </c>
      <c r="H3064" s="32">
        <f>33066+1002</f>
        <v>34068</v>
      </c>
    </row>
    <row r="3065" spans="1:8" s="2" customFormat="1">
      <c r="A3065" s="5" t="s">
        <v>2346</v>
      </c>
      <c r="B3065" s="2" t="s">
        <v>3209</v>
      </c>
      <c r="C3065" s="2" t="s">
        <v>2884</v>
      </c>
      <c r="D3065" s="2">
        <v>110000</v>
      </c>
      <c r="E3065" s="20" t="s">
        <v>495</v>
      </c>
      <c r="F3065" s="2">
        <v>610210</v>
      </c>
      <c r="G3065" s="32">
        <f>31594+1066</f>
        <v>32660</v>
      </c>
      <c r="H3065" s="32">
        <f>31594+1066</f>
        <v>32660</v>
      </c>
    </row>
    <row r="3066" spans="1:8" s="2" customFormat="1">
      <c r="A3066" s="5" t="s">
        <v>820</v>
      </c>
      <c r="B3066" s="2" t="s">
        <v>2632</v>
      </c>
      <c r="C3066" s="2" t="s">
        <v>2879</v>
      </c>
      <c r="D3066" s="2">
        <v>110000</v>
      </c>
      <c r="E3066" s="20" t="s">
        <v>495</v>
      </c>
      <c r="F3066" s="2">
        <v>610410</v>
      </c>
      <c r="G3066" s="32">
        <f>13656+382</f>
        <v>14038</v>
      </c>
      <c r="H3066" s="32">
        <f>13656+382</f>
        <v>14038</v>
      </c>
    </row>
    <row r="3067" spans="1:8" s="2" customFormat="1">
      <c r="A3067" s="5"/>
      <c r="D3067" s="2">
        <v>110000</v>
      </c>
      <c r="E3067" s="20" t="s">
        <v>462</v>
      </c>
      <c r="F3067" s="2">
        <v>610410</v>
      </c>
      <c r="G3067" s="32">
        <f>13657+382</f>
        <v>14039</v>
      </c>
      <c r="H3067" s="32"/>
    </row>
    <row r="3068" spans="1:8" s="2" customFormat="1">
      <c r="A3068" s="5"/>
      <c r="E3068" s="5" t="s">
        <v>2880</v>
      </c>
      <c r="G3068" s="32">
        <f>G3066+G3067</f>
        <v>28077</v>
      </c>
      <c r="H3068" s="32">
        <f>H3066+H3067</f>
        <v>14038</v>
      </c>
    </row>
    <row r="3069" spans="1:8" s="2" customFormat="1">
      <c r="A3069" s="5" t="s">
        <v>2347</v>
      </c>
      <c r="B3069" s="2" t="s">
        <v>3210</v>
      </c>
      <c r="C3069" s="2" t="s">
        <v>1061</v>
      </c>
      <c r="D3069" s="2">
        <v>110000</v>
      </c>
      <c r="E3069" s="20" t="s">
        <v>495</v>
      </c>
      <c r="F3069" s="2">
        <v>610410</v>
      </c>
      <c r="G3069" s="32">
        <f>21927+614</f>
        <v>22541</v>
      </c>
      <c r="H3069" s="32">
        <f>21927+614</f>
        <v>22541</v>
      </c>
    </row>
    <row r="3070" spans="1:8" s="2" customFormat="1">
      <c r="A3070" s="5" t="s">
        <v>2348</v>
      </c>
      <c r="B3070" s="2" t="s">
        <v>2633</v>
      </c>
      <c r="C3070" s="2" t="s">
        <v>1039</v>
      </c>
      <c r="D3070" s="2">
        <v>110000</v>
      </c>
      <c r="E3070" s="20" t="s">
        <v>495</v>
      </c>
      <c r="F3070" s="2">
        <v>610410</v>
      </c>
      <c r="G3070" s="32">
        <f>20085+562</f>
        <v>20647</v>
      </c>
      <c r="H3070" s="32">
        <f>20085+562</f>
        <v>20647</v>
      </c>
    </row>
    <row r="3071" spans="1:8" s="2" customFormat="1">
      <c r="A3071" s="5" t="s">
        <v>2349</v>
      </c>
      <c r="B3071" s="2" t="s">
        <v>3211</v>
      </c>
      <c r="C3071" s="2" t="s">
        <v>2941</v>
      </c>
      <c r="D3071" s="2">
        <v>110000</v>
      </c>
      <c r="E3071" s="20" t="s">
        <v>495</v>
      </c>
      <c r="F3071" s="2">
        <v>610410</v>
      </c>
      <c r="G3071" s="32">
        <f>18830+527</f>
        <v>19357</v>
      </c>
      <c r="H3071" s="32">
        <f>18830+527</f>
        <v>19357</v>
      </c>
    </row>
    <row r="3072" spans="1:8" s="2" customFormat="1">
      <c r="A3072" s="5"/>
      <c r="C3072" s="2" t="s">
        <v>1611</v>
      </c>
      <c r="D3072" s="2">
        <v>110000</v>
      </c>
      <c r="E3072" s="20" t="s">
        <v>495</v>
      </c>
      <c r="F3072" s="2">
        <v>620000</v>
      </c>
      <c r="G3072" s="32">
        <v>9000</v>
      </c>
      <c r="H3072" s="32">
        <v>9000</v>
      </c>
    </row>
    <row r="3073" spans="1:8" s="2" customFormat="1">
      <c r="A3073" s="5"/>
      <c r="C3073" s="2" t="s">
        <v>2950</v>
      </c>
      <c r="D3073" s="2">
        <v>110000</v>
      </c>
      <c r="E3073" s="20" t="s">
        <v>495</v>
      </c>
      <c r="F3073" s="2">
        <v>610000</v>
      </c>
      <c r="G3073" s="36"/>
      <c r="H3073" s="36"/>
    </row>
    <row r="3074" spans="1:8" s="2" customFormat="1">
      <c r="A3074" s="5"/>
      <c r="C3074" s="2" t="s">
        <v>2951</v>
      </c>
      <c r="D3074" s="2">
        <v>110000</v>
      </c>
      <c r="E3074" s="20" t="s">
        <v>495</v>
      </c>
      <c r="F3074" s="2">
        <v>630000</v>
      </c>
      <c r="G3074" s="32">
        <f>(SUM(G3063:G3073)-G3068)*0.18</f>
        <v>45468.18</v>
      </c>
      <c r="H3074" s="32">
        <f>(SUM(H3063:H3073)-H3068)*0.18</f>
        <v>42941.159999999996</v>
      </c>
    </row>
    <row r="3075" spans="1:8" s="2" customFormat="1">
      <c r="A3075" s="5"/>
      <c r="C3075" s="8" t="s">
        <v>1129</v>
      </c>
      <c r="E3075" s="20"/>
      <c r="G3075" s="32">
        <f>SUM(G3063:G3074)-G3068</f>
        <v>298069.18</v>
      </c>
      <c r="H3075" s="32">
        <f>SUM(H3063:H3074)-H3068</f>
        <v>281503.15999999997</v>
      </c>
    </row>
    <row r="3076" spans="1:8" s="2" customFormat="1">
      <c r="A3076" s="5"/>
      <c r="C3076" s="2" t="s">
        <v>2234</v>
      </c>
      <c r="D3076" s="2">
        <v>110000</v>
      </c>
      <c r="E3076" s="20" t="s">
        <v>495</v>
      </c>
      <c r="F3076" s="2">
        <v>710000</v>
      </c>
      <c r="G3076" s="32">
        <f>30436+137.68</f>
        <v>30573.68</v>
      </c>
      <c r="H3076" s="32">
        <f>30436+137.68</f>
        <v>30573.68</v>
      </c>
    </row>
    <row r="3077" spans="1:8" s="2" customFormat="1">
      <c r="A3077" s="5"/>
      <c r="C3077" s="8" t="s">
        <v>2235</v>
      </c>
      <c r="E3077" s="20"/>
      <c r="G3077" s="32">
        <f>G3075+G3076</f>
        <v>328642.86</v>
      </c>
      <c r="H3077" s="32">
        <f>H3075+H3076</f>
        <v>312076.83999999997</v>
      </c>
    </row>
    <row r="3078" spans="1:8" s="2" customFormat="1">
      <c r="A3078" s="5"/>
      <c r="E3078" s="20"/>
      <c r="G3078" s="32"/>
      <c r="H3078" s="32"/>
    </row>
    <row r="3079" spans="1:8" s="2" customFormat="1">
      <c r="A3079" s="6" t="s">
        <v>2553</v>
      </c>
      <c r="B3079" s="2" t="s">
        <v>507</v>
      </c>
      <c r="D3079" s="26"/>
      <c r="G3079" s="32"/>
      <c r="H3079" s="32"/>
    </row>
    <row r="3080" spans="1:8" s="2" customFormat="1">
      <c r="D3080" s="26"/>
      <c r="G3080" s="32"/>
      <c r="H3080" s="32"/>
    </row>
    <row r="3081" spans="1:8" s="2" customFormat="1">
      <c r="A3081" s="5" t="s">
        <v>1864</v>
      </c>
      <c r="B3081" s="2" t="s">
        <v>152</v>
      </c>
      <c r="C3081" s="2" t="s">
        <v>2206</v>
      </c>
      <c r="D3081" s="26">
        <v>110000</v>
      </c>
      <c r="E3081" s="2">
        <v>730200</v>
      </c>
      <c r="F3081" s="2">
        <v>610210</v>
      </c>
      <c r="G3081" s="32">
        <f>66000+1848</f>
        <v>67848</v>
      </c>
      <c r="H3081" s="32">
        <f>66000+1848</f>
        <v>67848</v>
      </c>
    </row>
    <row r="3082" spans="1:8" s="19" customFormat="1">
      <c r="A3082" s="18" t="s">
        <v>1865</v>
      </c>
      <c r="C3082" s="19" t="s">
        <v>508</v>
      </c>
      <c r="D3082" s="26">
        <v>110000</v>
      </c>
      <c r="E3082" s="2">
        <v>730200</v>
      </c>
      <c r="F3082" s="2">
        <v>610210</v>
      </c>
      <c r="G3082" s="34">
        <v>35234</v>
      </c>
      <c r="H3082" s="34">
        <v>35234</v>
      </c>
    </row>
    <row r="3083" spans="1:8" s="2" customFormat="1">
      <c r="A3083" s="5" t="s">
        <v>1866</v>
      </c>
      <c r="B3083" s="2" t="s">
        <v>509</v>
      </c>
      <c r="C3083" s="2" t="s">
        <v>1048</v>
      </c>
      <c r="D3083" s="26">
        <v>110000</v>
      </c>
      <c r="E3083" s="2">
        <v>730200</v>
      </c>
      <c r="F3083" s="2">
        <v>610410</v>
      </c>
      <c r="G3083" s="32">
        <f>18378+515</f>
        <v>18893</v>
      </c>
      <c r="H3083" s="32">
        <f>18378+515</f>
        <v>18893</v>
      </c>
    </row>
    <row r="3084" spans="1:8" s="2" customFormat="1">
      <c r="A3084" s="5" t="s">
        <v>1867</v>
      </c>
      <c r="B3084" s="2" t="s">
        <v>510</v>
      </c>
      <c r="C3084" s="2" t="s">
        <v>1608</v>
      </c>
      <c r="D3084" s="26">
        <v>110000</v>
      </c>
      <c r="E3084" s="2">
        <v>730200</v>
      </c>
      <c r="F3084" s="2">
        <v>610210</v>
      </c>
      <c r="G3084" s="32">
        <f>35259+1062</f>
        <v>36321</v>
      </c>
      <c r="H3084" s="32">
        <f>35259+1062</f>
        <v>36321</v>
      </c>
    </row>
    <row r="3085" spans="1:8" s="2" customFormat="1">
      <c r="A3085" s="5" t="s">
        <v>511</v>
      </c>
      <c r="C3085" s="2" t="s">
        <v>1611</v>
      </c>
      <c r="D3085" s="26">
        <v>110000</v>
      </c>
      <c r="E3085" s="2">
        <v>730200</v>
      </c>
      <c r="F3085" s="2">
        <v>620000</v>
      </c>
      <c r="G3085" s="32">
        <v>5500</v>
      </c>
      <c r="H3085" s="32">
        <v>5500</v>
      </c>
    </row>
    <row r="3086" spans="1:8" s="2" customFormat="1">
      <c r="A3086" s="5" t="s">
        <v>512</v>
      </c>
      <c r="C3086" s="2" t="s">
        <v>2950</v>
      </c>
      <c r="D3086" s="26">
        <v>110000</v>
      </c>
      <c r="E3086" s="2">
        <v>730200</v>
      </c>
      <c r="F3086" s="2">
        <v>610000</v>
      </c>
      <c r="G3086" s="32"/>
      <c r="H3086" s="32"/>
    </row>
    <row r="3087" spans="1:8" s="2" customFormat="1">
      <c r="C3087" s="2" t="s">
        <v>2951</v>
      </c>
      <c r="D3087" s="26">
        <v>110000</v>
      </c>
      <c r="E3087" s="2">
        <v>730200</v>
      </c>
      <c r="F3087" s="2">
        <v>630000</v>
      </c>
      <c r="G3087" s="32">
        <f>SUM(G3081:G3084)*0.2+G3085*0.08</f>
        <v>32099.200000000001</v>
      </c>
      <c r="H3087" s="32">
        <f>SUM(H3081:H3084)*0.2+H3085*0.08</f>
        <v>32099.200000000001</v>
      </c>
    </row>
    <row r="3088" spans="1:8" s="2" customFormat="1">
      <c r="C3088" s="8" t="s">
        <v>1129</v>
      </c>
      <c r="D3088" s="26"/>
      <c r="G3088" s="32">
        <f>SUM(G3081:G3087)</f>
        <v>195895.2</v>
      </c>
      <c r="H3088" s="32">
        <f>SUM(H3081:H3087)</f>
        <v>195895.2</v>
      </c>
    </row>
    <row r="3089" spans="1:8" s="2" customFormat="1">
      <c r="C3089" s="2" t="s">
        <v>2234</v>
      </c>
      <c r="D3089" s="26">
        <v>110000</v>
      </c>
      <c r="E3089" s="2">
        <v>730200</v>
      </c>
      <c r="F3089" s="2">
        <v>710000</v>
      </c>
      <c r="G3089" s="32">
        <v>15516</v>
      </c>
      <c r="H3089" s="32">
        <v>15516</v>
      </c>
    </row>
    <row r="3090" spans="1:8" s="2" customFormat="1">
      <c r="C3090" s="8" t="s">
        <v>2235</v>
      </c>
      <c r="D3090" s="26"/>
      <c r="G3090" s="32">
        <f>G3088+G3089</f>
        <v>211411.20000000001</v>
      </c>
      <c r="H3090" s="32">
        <f>H3088+H3089</f>
        <v>211411.20000000001</v>
      </c>
    </row>
    <row r="3091" spans="1:8" s="2" customFormat="1">
      <c r="D3091" s="26"/>
      <c r="G3091" s="32"/>
      <c r="H3091" s="32"/>
    </row>
    <row r="3092" spans="1:8" s="2" customFormat="1">
      <c r="A3092" s="6" t="s">
        <v>2553</v>
      </c>
      <c r="B3092" s="2" t="s">
        <v>513</v>
      </c>
      <c r="D3092" s="26"/>
      <c r="G3092" s="32"/>
      <c r="H3092" s="32"/>
    </row>
    <row r="3093" spans="1:8" s="2" customFormat="1">
      <c r="A3093" s="15"/>
      <c r="D3093" s="26"/>
      <c r="G3093" s="32"/>
      <c r="H3093" s="32"/>
    </row>
    <row r="3094" spans="1:8" s="2" customFormat="1">
      <c r="A3094" s="15"/>
      <c r="C3094" s="2" t="s">
        <v>2234</v>
      </c>
      <c r="D3094" s="26">
        <v>110000</v>
      </c>
      <c r="E3094" s="2">
        <v>730200</v>
      </c>
      <c r="F3094" s="2">
        <v>710000</v>
      </c>
      <c r="G3094" s="32">
        <f>(475000-45234-9047)/2</f>
        <v>210359.5</v>
      </c>
      <c r="H3094" s="32">
        <f>(475000-45234-9047)/2</f>
        <v>210359.5</v>
      </c>
    </row>
    <row r="3095" spans="1:8" s="2" customFormat="1">
      <c r="A3095" s="15"/>
      <c r="C3095" s="8" t="s">
        <v>2235</v>
      </c>
      <c r="D3095" s="26"/>
      <c r="G3095" s="32">
        <f>SUM(G3094:G3094)</f>
        <v>210359.5</v>
      </c>
      <c r="H3095" s="32">
        <f>SUM(H3094:H3094)</f>
        <v>210359.5</v>
      </c>
    </row>
    <row r="3096" spans="1:8" s="2" customFormat="1">
      <c r="A3096" s="15"/>
      <c r="D3096" s="26"/>
      <c r="G3096" s="32"/>
      <c r="H3096" s="32"/>
    </row>
    <row r="3097" spans="1:8" s="2" customFormat="1">
      <c r="A3097" s="6" t="s">
        <v>2553</v>
      </c>
      <c r="B3097" s="2" t="s">
        <v>514</v>
      </c>
      <c r="D3097" s="26"/>
      <c r="G3097" s="32"/>
      <c r="H3097" s="32"/>
    </row>
    <row r="3098" spans="1:8" s="2" customFormat="1">
      <c r="A3098" s="15"/>
      <c r="D3098" s="26"/>
      <c r="G3098" s="32"/>
      <c r="H3098" s="32"/>
    </row>
    <row r="3099" spans="1:8" s="2" customFormat="1">
      <c r="A3099" s="15"/>
      <c r="C3099" s="2" t="s">
        <v>515</v>
      </c>
      <c r="D3099" s="26">
        <v>110000</v>
      </c>
      <c r="E3099" s="2">
        <v>730200</v>
      </c>
      <c r="F3099" s="2">
        <v>710000</v>
      </c>
      <c r="G3099" s="32">
        <v>5000</v>
      </c>
      <c r="H3099" s="32">
        <v>5000</v>
      </c>
    </row>
    <row r="3100" spans="1:8" s="2" customFormat="1">
      <c r="A3100" s="15"/>
      <c r="C3100" s="2" t="s">
        <v>277</v>
      </c>
      <c r="D3100" s="26">
        <v>110000</v>
      </c>
      <c r="E3100" s="2">
        <v>730200</v>
      </c>
      <c r="F3100" s="2">
        <v>710000</v>
      </c>
      <c r="G3100" s="32">
        <v>5000</v>
      </c>
      <c r="H3100" s="32">
        <v>5000</v>
      </c>
    </row>
    <row r="3101" spans="1:8" s="2" customFormat="1">
      <c r="A3101" s="15"/>
      <c r="C3101" s="8" t="s">
        <v>2235</v>
      </c>
      <c r="D3101" s="26"/>
      <c r="G3101" s="32">
        <f>SUM(G3099:G3100)</f>
        <v>10000</v>
      </c>
      <c r="H3101" s="32">
        <f>SUM(H3099:H3100)</f>
        <v>10000</v>
      </c>
    </row>
    <row r="3102" spans="1:8" s="2" customFormat="1">
      <c r="A3102" s="15"/>
      <c r="D3102" s="26"/>
      <c r="G3102" s="32"/>
      <c r="H3102" s="32"/>
    </row>
    <row r="3103" spans="1:8" s="2" customFormat="1">
      <c r="A3103" s="6" t="s">
        <v>2553</v>
      </c>
      <c r="B3103" s="2" t="s">
        <v>992</v>
      </c>
      <c r="D3103" s="26"/>
      <c r="G3103" s="32"/>
      <c r="H3103" s="32"/>
    </row>
    <row r="3104" spans="1:8" s="2" customFormat="1">
      <c r="A3104" s="15"/>
      <c r="D3104" s="26"/>
      <c r="G3104" s="32"/>
      <c r="H3104" s="32"/>
    </row>
    <row r="3105" spans="1:8" s="2" customFormat="1">
      <c r="A3105" s="15"/>
      <c r="C3105" s="2" t="s">
        <v>2234</v>
      </c>
      <c r="D3105" s="26">
        <v>110000</v>
      </c>
      <c r="E3105" s="2">
        <v>730200</v>
      </c>
      <c r="F3105" s="2">
        <v>710000</v>
      </c>
      <c r="G3105" s="32">
        <f>(475000-45234-9047)/2</f>
        <v>210359.5</v>
      </c>
      <c r="H3105" s="32">
        <f>(475000-45234-9047)/2</f>
        <v>210359.5</v>
      </c>
    </row>
    <row r="3106" spans="1:8" s="2" customFormat="1">
      <c r="A3106" s="15"/>
      <c r="C3106" s="8" t="s">
        <v>2235</v>
      </c>
      <c r="D3106" s="26"/>
      <c r="G3106" s="32">
        <f>G3105</f>
        <v>210359.5</v>
      </c>
      <c r="H3106" s="32">
        <f>H3105</f>
        <v>210359.5</v>
      </c>
    </row>
    <row r="3107" spans="1:8" s="2" customFormat="1">
      <c r="A3107" s="15"/>
      <c r="D3107" s="26"/>
      <c r="G3107" s="32"/>
      <c r="H3107" s="32"/>
    </row>
    <row r="3108" spans="1:8" s="2" customFormat="1">
      <c r="A3108" s="6" t="s">
        <v>2553</v>
      </c>
      <c r="B3108" s="2" t="s">
        <v>993</v>
      </c>
      <c r="D3108" s="26"/>
      <c r="G3108" s="32"/>
      <c r="H3108" s="32"/>
    </row>
    <row r="3109" spans="1:8" s="2" customFormat="1">
      <c r="A3109" s="15"/>
      <c r="D3109" s="26"/>
      <c r="G3109" s="32"/>
      <c r="H3109" s="32"/>
    </row>
    <row r="3110" spans="1:8" s="2" customFormat="1">
      <c r="A3110" s="8"/>
      <c r="C3110" s="2" t="s">
        <v>2234</v>
      </c>
      <c r="D3110" s="26">
        <v>110000</v>
      </c>
      <c r="E3110" s="2">
        <v>730200</v>
      </c>
      <c r="F3110" s="2">
        <v>710000</v>
      </c>
      <c r="G3110" s="32">
        <v>100000</v>
      </c>
      <c r="H3110" s="32">
        <v>100000</v>
      </c>
    </row>
    <row r="3111" spans="1:8" s="2" customFormat="1">
      <c r="A3111" s="8"/>
      <c r="C3111" s="8" t="s">
        <v>2235</v>
      </c>
      <c r="D3111" s="26"/>
      <c r="G3111" s="32">
        <v>100000</v>
      </c>
      <c r="H3111" s="32">
        <v>100000</v>
      </c>
    </row>
    <row r="3112" spans="1:8" s="2" customFormat="1">
      <c r="A3112" s="8"/>
      <c r="D3112" s="26"/>
      <c r="G3112" s="32"/>
      <c r="H3112" s="32"/>
    </row>
    <row r="3113" spans="1:8" s="2" customFormat="1">
      <c r="A3113" s="6" t="s">
        <v>489</v>
      </c>
      <c r="B3113" s="2" t="s">
        <v>2751</v>
      </c>
      <c r="C3113" s="12"/>
      <c r="E3113" s="20"/>
      <c r="G3113" s="32"/>
      <c r="H3113" s="32"/>
    </row>
    <row r="3114" spans="1:8" s="2" customFormat="1">
      <c r="A3114" s="5"/>
      <c r="C3114" s="12"/>
      <c r="E3114" s="20"/>
      <c r="G3114" s="32"/>
      <c r="H3114" s="32"/>
    </row>
    <row r="3115" spans="1:8" s="2" customFormat="1">
      <c r="A3115" s="5"/>
      <c r="C3115" s="9" t="s">
        <v>2234</v>
      </c>
      <c r="D3115" s="2">
        <v>110000</v>
      </c>
      <c r="E3115" s="20" t="s">
        <v>489</v>
      </c>
      <c r="F3115" s="2">
        <v>710000</v>
      </c>
      <c r="G3115" s="32">
        <v>45000</v>
      </c>
      <c r="H3115" s="32">
        <v>45000</v>
      </c>
    </row>
    <row r="3116" spans="1:8" s="2" customFormat="1">
      <c r="A3116" s="5"/>
      <c r="C3116" s="12" t="s">
        <v>2235</v>
      </c>
      <c r="E3116" s="20"/>
      <c r="G3116" s="32">
        <f>G3115</f>
        <v>45000</v>
      </c>
      <c r="H3116" s="32">
        <f>H3115</f>
        <v>45000</v>
      </c>
    </row>
    <row r="3117" spans="1:8" s="2" customFormat="1">
      <c r="A3117" s="5"/>
      <c r="C3117" s="12"/>
      <c r="E3117" s="20"/>
      <c r="G3117" s="32"/>
      <c r="H3117" s="32"/>
    </row>
    <row r="3118" spans="1:8" s="2" customFormat="1">
      <c r="A3118" s="5" t="s">
        <v>500</v>
      </c>
      <c r="B3118" s="2" t="s">
        <v>1487</v>
      </c>
      <c r="E3118" s="20"/>
      <c r="G3118" s="32"/>
      <c r="H3118" s="32"/>
    </row>
    <row r="3119" spans="1:8" s="2" customFormat="1">
      <c r="A3119" s="5"/>
      <c r="E3119" s="20"/>
      <c r="G3119" s="32"/>
      <c r="H3119" s="32"/>
    </row>
    <row r="3120" spans="1:8" s="2" customFormat="1">
      <c r="A3120" s="5" t="s">
        <v>2372</v>
      </c>
      <c r="B3120" s="2" t="s">
        <v>2098</v>
      </c>
      <c r="C3120" s="2" t="s">
        <v>1488</v>
      </c>
      <c r="D3120" s="2">
        <v>110000</v>
      </c>
      <c r="E3120" s="20" t="s">
        <v>500</v>
      </c>
      <c r="F3120" s="2">
        <v>610210</v>
      </c>
      <c r="G3120" s="32">
        <f>70000+2380</f>
        <v>72380</v>
      </c>
      <c r="H3120" s="32">
        <f>70000+2380</f>
        <v>72380</v>
      </c>
    </row>
    <row r="3121" spans="1:8" s="2" customFormat="1">
      <c r="A3121" s="5" t="s">
        <v>2373</v>
      </c>
      <c r="C3121" s="2" t="s">
        <v>2099</v>
      </c>
      <c r="D3121" s="2">
        <v>110000</v>
      </c>
      <c r="E3121" s="20" t="s">
        <v>500</v>
      </c>
      <c r="F3121" s="2">
        <v>610210</v>
      </c>
      <c r="G3121" s="32">
        <v>55063</v>
      </c>
      <c r="H3121" s="32">
        <v>55063</v>
      </c>
    </row>
    <row r="3122" spans="1:8" s="2" customFormat="1">
      <c r="A3122" s="5" t="s">
        <v>2374</v>
      </c>
      <c r="B3122" s="2" t="s">
        <v>2100</v>
      </c>
      <c r="C3122" s="2" t="s">
        <v>544</v>
      </c>
      <c r="D3122" s="2">
        <v>110000</v>
      </c>
      <c r="E3122" s="20" t="s">
        <v>500</v>
      </c>
      <c r="F3122" s="2">
        <v>610210</v>
      </c>
      <c r="G3122" s="32">
        <f>53307+1599</f>
        <v>54906</v>
      </c>
      <c r="H3122" s="32">
        <f>53307+1599</f>
        <v>54906</v>
      </c>
    </row>
    <row r="3123" spans="1:8" s="2" customFormat="1">
      <c r="A3123" s="5" t="s">
        <v>2375</v>
      </c>
      <c r="B3123" s="2" t="s">
        <v>2101</v>
      </c>
      <c r="C3123" s="2" t="s">
        <v>761</v>
      </c>
      <c r="D3123" s="2">
        <v>110000</v>
      </c>
      <c r="E3123" s="20" t="s">
        <v>500</v>
      </c>
      <c r="F3123" s="2">
        <v>610210</v>
      </c>
      <c r="G3123" s="32">
        <f>37062+1001</f>
        <v>38063</v>
      </c>
      <c r="H3123" s="32">
        <f>37062+1001</f>
        <v>38063</v>
      </c>
    </row>
    <row r="3124" spans="1:8" s="2" customFormat="1">
      <c r="A3124" s="5" t="s">
        <v>2376</v>
      </c>
      <c r="B3124" s="2" t="s">
        <v>1817</v>
      </c>
      <c r="C3124" s="2" t="s">
        <v>762</v>
      </c>
      <c r="D3124" s="2">
        <v>110000</v>
      </c>
      <c r="E3124" s="20" t="s">
        <v>500</v>
      </c>
      <c r="F3124" s="2">
        <v>610210</v>
      </c>
      <c r="G3124" s="32">
        <f>40768+1101</f>
        <v>41869</v>
      </c>
      <c r="H3124" s="32">
        <f>40768+1101</f>
        <v>41869</v>
      </c>
    </row>
    <row r="3125" spans="1:8" s="2" customFormat="1">
      <c r="A3125" s="5" t="s">
        <v>2377</v>
      </c>
      <c r="B3125" s="2" t="s">
        <v>1818</v>
      </c>
      <c r="C3125" s="2" t="s">
        <v>762</v>
      </c>
      <c r="D3125" s="2">
        <v>110000</v>
      </c>
      <c r="E3125" s="20" t="s">
        <v>500</v>
      </c>
      <c r="F3125" s="2">
        <v>610210</v>
      </c>
      <c r="G3125" s="32">
        <f>36579+988</f>
        <v>37567</v>
      </c>
      <c r="H3125" s="32">
        <f>36579+988</f>
        <v>37567</v>
      </c>
    </row>
    <row r="3126" spans="1:8" s="2" customFormat="1">
      <c r="A3126" s="5" t="s">
        <v>2378</v>
      </c>
      <c r="B3126" s="2" t="s">
        <v>1374</v>
      </c>
      <c r="C3126" s="2" t="s">
        <v>762</v>
      </c>
      <c r="D3126" s="2">
        <v>110000</v>
      </c>
      <c r="E3126" s="20" t="s">
        <v>500</v>
      </c>
      <c r="F3126" s="2">
        <v>610210</v>
      </c>
      <c r="G3126" s="32">
        <f>34145+922</f>
        <v>35067</v>
      </c>
      <c r="H3126" s="32">
        <f>34145+922</f>
        <v>35067</v>
      </c>
    </row>
    <row r="3127" spans="1:8" s="2" customFormat="1">
      <c r="A3127" s="5" t="s">
        <v>2379</v>
      </c>
      <c r="B3127" s="2" t="s">
        <v>2471</v>
      </c>
      <c r="C3127" s="2" t="s">
        <v>762</v>
      </c>
      <c r="D3127" s="2">
        <v>110000</v>
      </c>
      <c r="E3127" s="20" t="s">
        <v>500</v>
      </c>
      <c r="F3127" s="2">
        <v>610210</v>
      </c>
      <c r="G3127" s="32">
        <f>37512+1125</f>
        <v>38637</v>
      </c>
      <c r="H3127" s="32">
        <f>37512+1125</f>
        <v>38637</v>
      </c>
    </row>
    <row r="3128" spans="1:8" s="2" customFormat="1">
      <c r="A3128" s="5" t="s">
        <v>2380</v>
      </c>
      <c r="B3128" s="2" t="s">
        <v>2472</v>
      </c>
      <c r="C3128" s="2" t="s">
        <v>761</v>
      </c>
      <c r="D3128" s="2">
        <v>110000</v>
      </c>
      <c r="E3128" s="20" t="s">
        <v>500</v>
      </c>
      <c r="F3128" s="2">
        <v>610210</v>
      </c>
      <c r="G3128" s="32">
        <f>34636+935</f>
        <v>35571</v>
      </c>
      <c r="H3128" s="32">
        <f>34636+935</f>
        <v>35571</v>
      </c>
    </row>
    <row r="3129" spans="1:8" s="2" customFormat="1">
      <c r="A3129" s="5" t="s">
        <v>2381</v>
      </c>
      <c r="C3129" s="2" t="s">
        <v>762</v>
      </c>
      <c r="D3129" s="2">
        <v>110000</v>
      </c>
      <c r="E3129" s="20" t="s">
        <v>500</v>
      </c>
      <c r="F3129" s="2">
        <v>610210</v>
      </c>
      <c r="G3129" s="32">
        <v>43190</v>
      </c>
      <c r="H3129" s="32">
        <v>43190</v>
      </c>
    </row>
    <row r="3130" spans="1:8" s="2" customFormat="1">
      <c r="A3130" s="5" t="s">
        <v>2382</v>
      </c>
      <c r="B3130" s="2" t="s">
        <v>39</v>
      </c>
      <c r="C3130" s="2" t="s">
        <v>762</v>
      </c>
      <c r="D3130" s="2">
        <v>110000</v>
      </c>
      <c r="E3130" s="20" t="s">
        <v>500</v>
      </c>
      <c r="F3130" s="2">
        <v>610210</v>
      </c>
      <c r="G3130" s="32">
        <f>40039+1201</f>
        <v>41240</v>
      </c>
      <c r="H3130" s="32">
        <f>40039+1201</f>
        <v>41240</v>
      </c>
    </row>
    <row r="3131" spans="1:8" s="2" customFormat="1">
      <c r="A3131" s="5" t="s">
        <v>2383</v>
      </c>
      <c r="B3131" s="2" t="s">
        <v>40</v>
      </c>
      <c r="C3131" s="2" t="s">
        <v>1608</v>
      </c>
      <c r="D3131" s="2">
        <v>110000</v>
      </c>
      <c r="E3131" s="20" t="s">
        <v>500</v>
      </c>
      <c r="F3131" s="2">
        <v>610210</v>
      </c>
      <c r="G3131" s="32">
        <f>32325+1417</f>
        <v>33742</v>
      </c>
      <c r="H3131" s="32">
        <f>32325+1417</f>
        <v>33742</v>
      </c>
    </row>
    <row r="3132" spans="1:8" s="2" customFormat="1">
      <c r="A3132" s="5" t="s">
        <v>2384</v>
      </c>
      <c r="B3132" s="2" t="s">
        <v>41</v>
      </c>
      <c r="C3132" s="2" t="s">
        <v>1608</v>
      </c>
      <c r="D3132" s="2">
        <v>110000</v>
      </c>
      <c r="E3132" s="20" t="s">
        <v>500</v>
      </c>
      <c r="F3132" s="2">
        <v>610210</v>
      </c>
      <c r="G3132" s="32">
        <f>32580+1424</f>
        <v>34004</v>
      </c>
      <c r="H3132" s="32">
        <f>32580+1424</f>
        <v>34004</v>
      </c>
    </row>
    <row r="3133" spans="1:8" s="2" customFormat="1">
      <c r="A3133" s="5" t="s">
        <v>2385</v>
      </c>
      <c r="B3133" s="2" t="s">
        <v>42</v>
      </c>
      <c r="C3133" s="2" t="s">
        <v>876</v>
      </c>
      <c r="D3133" s="2">
        <v>110000</v>
      </c>
      <c r="E3133" s="20" t="s">
        <v>500</v>
      </c>
      <c r="F3133" s="2">
        <v>610410</v>
      </c>
      <c r="G3133" s="32">
        <f>35055+982</f>
        <v>36037</v>
      </c>
      <c r="H3133" s="32">
        <f>35055+982</f>
        <v>36037</v>
      </c>
    </row>
    <row r="3134" spans="1:8" s="2" customFormat="1">
      <c r="A3134" s="5" t="s">
        <v>2386</v>
      </c>
      <c r="B3134" s="2" t="s">
        <v>65</v>
      </c>
      <c r="C3134" s="2" t="s">
        <v>43</v>
      </c>
      <c r="D3134" s="2">
        <v>110000</v>
      </c>
      <c r="E3134" s="20" t="s">
        <v>500</v>
      </c>
      <c r="F3134" s="2">
        <v>610410</v>
      </c>
      <c r="G3134" s="32">
        <v>18541</v>
      </c>
      <c r="H3134" s="32">
        <v>18541</v>
      </c>
    </row>
    <row r="3135" spans="1:8" s="2" customFormat="1">
      <c r="A3135" s="5" t="s">
        <v>2387</v>
      </c>
      <c r="B3135" s="2" t="s">
        <v>44</v>
      </c>
      <c r="C3135" s="2" t="s">
        <v>1613</v>
      </c>
      <c r="D3135" s="2">
        <v>110000</v>
      </c>
      <c r="E3135" s="20" t="s">
        <v>500</v>
      </c>
      <c r="F3135" s="2">
        <v>610410</v>
      </c>
      <c r="G3135" s="32">
        <f>22346+626</f>
        <v>22972</v>
      </c>
      <c r="H3135" s="32">
        <f>22346+626</f>
        <v>22972</v>
      </c>
    </row>
    <row r="3136" spans="1:8" s="2" customFormat="1">
      <c r="A3136" s="5" t="s">
        <v>2388</v>
      </c>
      <c r="B3136" s="2" t="s">
        <v>45</v>
      </c>
      <c r="C3136" s="2" t="s">
        <v>1023</v>
      </c>
      <c r="D3136" s="2">
        <v>110000</v>
      </c>
      <c r="E3136" s="20" t="s">
        <v>500</v>
      </c>
      <c r="F3136" s="2">
        <v>610410</v>
      </c>
      <c r="G3136" s="32">
        <f>19474+545</f>
        <v>20019</v>
      </c>
      <c r="H3136" s="32">
        <f>19474+545</f>
        <v>20019</v>
      </c>
    </row>
    <row r="3137" spans="1:8" s="2" customFormat="1">
      <c r="A3137" s="5" t="s">
        <v>2389</v>
      </c>
      <c r="B3137" s="2" t="s">
        <v>1396</v>
      </c>
      <c r="C3137" s="2" t="s">
        <v>46</v>
      </c>
      <c r="D3137" s="2">
        <v>110000</v>
      </c>
      <c r="E3137" s="20" t="s">
        <v>500</v>
      </c>
      <c r="F3137" s="2">
        <v>610410</v>
      </c>
      <c r="G3137" s="32">
        <f>18279+512</f>
        <v>18791</v>
      </c>
      <c r="H3137" s="32">
        <f>18279+512</f>
        <v>18791</v>
      </c>
    </row>
    <row r="3138" spans="1:8" s="2" customFormat="1">
      <c r="A3138" s="5" t="s">
        <v>2390</v>
      </c>
      <c r="B3138" s="2" t="s">
        <v>47</v>
      </c>
      <c r="C3138" s="2" t="s">
        <v>46</v>
      </c>
      <c r="D3138" s="2">
        <v>110000</v>
      </c>
      <c r="E3138" s="20" t="s">
        <v>500</v>
      </c>
      <c r="F3138" s="2">
        <v>610410</v>
      </c>
      <c r="G3138" s="32">
        <f>16832+471</f>
        <v>17303</v>
      </c>
      <c r="H3138" s="32">
        <f>16832+471</f>
        <v>17303</v>
      </c>
    </row>
    <row r="3139" spans="1:8" s="2" customFormat="1">
      <c r="A3139" s="5" t="s">
        <v>2391</v>
      </c>
      <c r="B3139" s="2" t="s">
        <v>48</v>
      </c>
      <c r="C3139" s="2" t="s">
        <v>46</v>
      </c>
      <c r="D3139" s="2">
        <v>110000</v>
      </c>
      <c r="E3139" s="20" t="s">
        <v>500</v>
      </c>
      <c r="F3139" s="2">
        <v>610410</v>
      </c>
      <c r="G3139" s="32">
        <f>17165+481</f>
        <v>17646</v>
      </c>
      <c r="H3139" s="32">
        <f>17165+481</f>
        <v>17646</v>
      </c>
    </row>
    <row r="3140" spans="1:8" s="2" customFormat="1">
      <c r="A3140" s="5" t="s">
        <v>2392</v>
      </c>
      <c r="B3140" s="2" t="s">
        <v>49</v>
      </c>
      <c r="C3140" s="2" t="s">
        <v>46</v>
      </c>
      <c r="D3140" s="2">
        <v>110000</v>
      </c>
      <c r="E3140" s="20" t="s">
        <v>500</v>
      </c>
      <c r="F3140" s="2">
        <v>610410</v>
      </c>
      <c r="G3140" s="32">
        <f>20859+584</f>
        <v>21443</v>
      </c>
      <c r="H3140" s="32">
        <f>20859+584</f>
        <v>21443</v>
      </c>
    </row>
    <row r="3141" spans="1:8" s="2" customFormat="1">
      <c r="A3141" s="5" t="s">
        <v>2393</v>
      </c>
      <c r="B3141" s="2" t="s">
        <v>2763</v>
      </c>
      <c r="C3141" s="2" t="s">
        <v>46</v>
      </c>
      <c r="D3141" s="2">
        <v>110000</v>
      </c>
      <c r="E3141" s="20" t="s">
        <v>500</v>
      </c>
      <c r="F3141" s="2">
        <v>610410</v>
      </c>
      <c r="G3141" s="32">
        <f>16616+465</f>
        <v>17081</v>
      </c>
      <c r="H3141" s="32">
        <f>16616+465</f>
        <v>17081</v>
      </c>
    </row>
    <row r="3142" spans="1:8" s="2" customFormat="1">
      <c r="A3142" s="5" t="s">
        <v>2394</v>
      </c>
      <c r="B3142" s="2" t="s">
        <v>50</v>
      </c>
      <c r="C3142" s="2" t="s">
        <v>46</v>
      </c>
      <c r="D3142" s="2">
        <v>110000</v>
      </c>
      <c r="E3142" s="20" t="s">
        <v>500</v>
      </c>
      <c r="F3142" s="2">
        <v>610410</v>
      </c>
      <c r="G3142" s="32">
        <f>19120+535</f>
        <v>19655</v>
      </c>
      <c r="H3142" s="32">
        <f>19120+535</f>
        <v>19655</v>
      </c>
    </row>
    <row r="3143" spans="1:8" s="2" customFormat="1">
      <c r="A3143" s="5" t="s">
        <v>2395</v>
      </c>
      <c r="B3143" s="2" t="s">
        <v>51</v>
      </c>
      <c r="C3143" s="2" t="s">
        <v>46</v>
      </c>
      <c r="D3143" s="2">
        <v>110000</v>
      </c>
      <c r="E3143" s="20" t="s">
        <v>500</v>
      </c>
      <c r="F3143" s="2">
        <v>610410</v>
      </c>
      <c r="G3143" s="32">
        <f>18350+514</f>
        <v>18864</v>
      </c>
      <c r="H3143" s="32">
        <f>18350+514</f>
        <v>18864</v>
      </c>
    </row>
    <row r="3144" spans="1:8" s="2" customFormat="1">
      <c r="A3144" s="5" t="s">
        <v>2396</v>
      </c>
      <c r="B3144" s="2" t="s">
        <v>2484</v>
      </c>
      <c r="C3144" s="2" t="s">
        <v>2485</v>
      </c>
      <c r="D3144" s="2">
        <v>110000</v>
      </c>
      <c r="E3144" s="20" t="s">
        <v>500</v>
      </c>
      <c r="F3144" s="2">
        <v>610410</v>
      </c>
      <c r="G3144" s="32">
        <f>14823+415</f>
        <v>15238</v>
      </c>
      <c r="H3144" s="32">
        <f>14823+415</f>
        <v>15238</v>
      </c>
    </row>
    <row r="3145" spans="1:8" s="2" customFormat="1">
      <c r="A3145" s="5" t="s">
        <v>2397</v>
      </c>
      <c r="C3145" s="2" t="s">
        <v>2485</v>
      </c>
      <c r="D3145" s="2">
        <v>110000</v>
      </c>
      <c r="E3145" s="20" t="s">
        <v>500</v>
      </c>
      <c r="F3145" s="2">
        <v>610410</v>
      </c>
      <c r="G3145" s="32">
        <v>15043</v>
      </c>
      <c r="H3145" s="32">
        <v>15043</v>
      </c>
    </row>
    <row r="3146" spans="1:8" s="2" customFormat="1">
      <c r="A3146" s="5" t="s">
        <v>2398</v>
      </c>
      <c r="C3146" s="2" t="s">
        <v>2485</v>
      </c>
      <c r="D3146" s="2">
        <v>110000</v>
      </c>
      <c r="E3146" s="20" t="s">
        <v>500</v>
      </c>
      <c r="F3146" s="2">
        <v>610410</v>
      </c>
      <c r="G3146" s="32">
        <v>16708</v>
      </c>
      <c r="H3146" s="32">
        <v>16708</v>
      </c>
    </row>
    <row r="3147" spans="1:8" s="2" customFormat="1">
      <c r="A3147" s="5" t="s">
        <v>500</v>
      </c>
      <c r="B3147" s="2" t="s">
        <v>1487</v>
      </c>
      <c r="E3147" s="20"/>
      <c r="G3147" s="32"/>
      <c r="H3147" s="32"/>
    </row>
    <row r="3148" spans="1:8" s="2" customFormat="1">
      <c r="A3148" s="5"/>
      <c r="E3148" s="20"/>
      <c r="G3148" s="32"/>
      <c r="H3148" s="32"/>
    </row>
    <row r="3149" spans="1:8" s="2" customFormat="1">
      <c r="A3149" s="5" t="s">
        <v>2399</v>
      </c>
      <c r="B3149" s="2" t="s">
        <v>2764</v>
      </c>
      <c r="C3149" s="2" t="s">
        <v>2485</v>
      </c>
      <c r="D3149" s="2">
        <v>110000</v>
      </c>
      <c r="E3149" s="20" t="s">
        <v>500</v>
      </c>
      <c r="F3149" s="2">
        <v>610410</v>
      </c>
      <c r="G3149" s="32">
        <f>14633+410</f>
        <v>15043</v>
      </c>
      <c r="H3149" s="32">
        <f>14633+410</f>
        <v>15043</v>
      </c>
    </row>
    <row r="3150" spans="1:8" s="2" customFormat="1">
      <c r="A3150" s="5" t="s">
        <v>2400</v>
      </c>
      <c r="B3150" s="2" t="s">
        <v>569</v>
      </c>
      <c r="C3150" s="2" t="s">
        <v>2485</v>
      </c>
      <c r="D3150" s="2">
        <v>110000</v>
      </c>
      <c r="E3150" s="20" t="s">
        <v>500</v>
      </c>
      <c r="F3150" s="2">
        <v>610410</v>
      </c>
      <c r="G3150" s="32">
        <f>14633+410</f>
        <v>15043</v>
      </c>
      <c r="H3150" s="32">
        <f>14633+410</f>
        <v>15043</v>
      </c>
    </row>
    <row r="3151" spans="1:8" s="2" customFormat="1">
      <c r="A3151" s="5" t="s">
        <v>2401</v>
      </c>
      <c r="B3151" s="2" t="s">
        <v>1397</v>
      </c>
      <c r="C3151" s="2" t="s">
        <v>2485</v>
      </c>
      <c r="D3151" s="2">
        <v>110000</v>
      </c>
      <c r="E3151" s="20" t="s">
        <v>500</v>
      </c>
      <c r="F3151" s="2">
        <v>610410</v>
      </c>
      <c r="G3151" s="32">
        <f>15421+432</f>
        <v>15853</v>
      </c>
      <c r="H3151" s="32">
        <f>15421+432</f>
        <v>15853</v>
      </c>
    </row>
    <row r="3152" spans="1:8" s="2" customFormat="1">
      <c r="A3152" s="5" t="s">
        <v>2402</v>
      </c>
      <c r="B3152" s="2" t="s">
        <v>570</v>
      </c>
      <c r="C3152" s="2" t="s">
        <v>2485</v>
      </c>
      <c r="D3152" s="2">
        <v>110000</v>
      </c>
      <c r="E3152" s="20" t="s">
        <v>500</v>
      </c>
      <c r="F3152" s="2">
        <v>610410</v>
      </c>
      <c r="G3152" s="32">
        <f>14633+410</f>
        <v>15043</v>
      </c>
      <c r="H3152" s="32">
        <f>14633+410</f>
        <v>15043</v>
      </c>
    </row>
    <row r="3153" spans="1:8" s="2" customFormat="1">
      <c r="A3153" s="5" t="s">
        <v>2403</v>
      </c>
      <c r="B3153" s="2" t="s">
        <v>1398</v>
      </c>
      <c r="C3153" s="2" t="s">
        <v>2485</v>
      </c>
      <c r="D3153" s="2">
        <v>110000</v>
      </c>
      <c r="E3153" s="20" t="s">
        <v>500</v>
      </c>
      <c r="F3153" s="2">
        <v>610410</v>
      </c>
      <c r="G3153" s="32">
        <f>15422+432</f>
        <v>15854</v>
      </c>
      <c r="H3153" s="32">
        <f>15422+432</f>
        <v>15854</v>
      </c>
    </row>
    <row r="3154" spans="1:8" s="2" customFormat="1">
      <c r="A3154" s="5"/>
      <c r="C3154" s="2" t="s">
        <v>1611</v>
      </c>
      <c r="D3154" s="2">
        <v>110000</v>
      </c>
      <c r="E3154" s="20" t="s">
        <v>500</v>
      </c>
      <c r="F3154" s="2">
        <v>620000</v>
      </c>
      <c r="G3154" s="32">
        <v>162760</v>
      </c>
      <c r="H3154" s="32">
        <v>162760</v>
      </c>
    </row>
    <row r="3155" spans="1:8" s="2" customFormat="1">
      <c r="A3155" s="5"/>
      <c r="C3155" s="2" t="s">
        <v>2950</v>
      </c>
      <c r="D3155" s="2">
        <v>110000</v>
      </c>
      <c r="E3155" s="20" t="s">
        <v>500</v>
      </c>
      <c r="F3155" s="2">
        <v>610000</v>
      </c>
      <c r="G3155" s="36"/>
      <c r="H3155" s="36"/>
    </row>
    <row r="3156" spans="1:8" s="2" customFormat="1">
      <c r="A3156" s="5"/>
      <c r="C3156" s="2" t="s">
        <v>2951</v>
      </c>
      <c r="D3156" s="2">
        <v>110000</v>
      </c>
      <c r="E3156" s="20" t="s">
        <v>500</v>
      </c>
      <c r="F3156" s="2">
        <v>630000</v>
      </c>
      <c r="G3156" s="32">
        <f>SUM(G3120:G3153)*0.19+G3154*0.08+563-907</f>
        <v>186237.24</v>
      </c>
      <c r="H3156" s="32">
        <f>SUM(H3120:H3153)*0.19+H3154*0.08+563-907</f>
        <v>186237.24</v>
      </c>
    </row>
    <row r="3157" spans="1:8" s="2" customFormat="1">
      <c r="A3157" s="5"/>
      <c r="C3157" s="8" t="s">
        <v>1129</v>
      </c>
      <c r="E3157" s="20"/>
      <c r="G3157" s="32">
        <f>SUM(G3120:G3156)</f>
        <v>1262473.24</v>
      </c>
      <c r="H3157" s="32">
        <f>SUM(H3120:H3156)</f>
        <v>1262473.24</v>
      </c>
    </row>
    <row r="3158" spans="1:8" s="2" customFormat="1">
      <c r="A3158" s="5"/>
      <c r="C3158" s="2" t="s">
        <v>2234</v>
      </c>
      <c r="D3158" s="2">
        <v>110000</v>
      </c>
      <c r="E3158" s="20" t="s">
        <v>500</v>
      </c>
      <c r="F3158" s="2">
        <v>710000</v>
      </c>
      <c r="G3158" s="32">
        <f>64011+316.62</f>
        <v>64327.62</v>
      </c>
      <c r="H3158" s="32">
        <f>G3158</f>
        <v>64327.62</v>
      </c>
    </row>
    <row r="3159" spans="1:8" s="2" customFormat="1">
      <c r="A3159" s="5"/>
      <c r="C3159" s="8" t="s">
        <v>2235</v>
      </c>
      <c r="E3159" s="20"/>
      <c r="G3159" s="32">
        <f>G3157+G3158</f>
        <v>1326800.8600000001</v>
      </c>
      <c r="H3159" s="32">
        <f>H3157+H3158</f>
        <v>1326800.8600000001</v>
      </c>
    </row>
    <row r="3160" spans="1:8" s="2" customFormat="1">
      <c r="A3160" s="5"/>
      <c r="E3160" s="20"/>
      <c r="G3160" s="32"/>
      <c r="H3160" s="32"/>
    </row>
    <row r="3161" spans="1:8" s="2" customFormat="1">
      <c r="A3161" s="5" t="s">
        <v>500</v>
      </c>
      <c r="B3161" s="2" t="s">
        <v>1399</v>
      </c>
      <c r="E3161" s="20"/>
      <c r="G3161" s="32"/>
      <c r="H3161" s="32"/>
    </row>
    <row r="3162" spans="1:8" s="2" customFormat="1">
      <c r="A3162" s="5"/>
      <c r="E3162" s="20"/>
      <c r="G3162" s="32"/>
      <c r="H3162" s="32"/>
    </row>
    <row r="3163" spans="1:8" s="2" customFormat="1">
      <c r="A3163" s="5"/>
      <c r="C3163" s="2" t="s">
        <v>2234</v>
      </c>
      <c r="D3163" s="2">
        <v>110000</v>
      </c>
      <c r="E3163" s="20" t="s">
        <v>500</v>
      </c>
      <c r="F3163" s="2">
        <v>710000</v>
      </c>
      <c r="G3163" s="32">
        <f>654578+81661</f>
        <v>736239</v>
      </c>
      <c r="H3163" s="32">
        <f>654578+81661</f>
        <v>736239</v>
      </c>
    </row>
    <row r="3164" spans="1:8" s="2" customFormat="1">
      <c r="A3164" s="5"/>
      <c r="C3164" s="8" t="s">
        <v>2235</v>
      </c>
      <c r="E3164" s="20"/>
      <c r="G3164" s="32">
        <f>G3163</f>
        <v>736239</v>
      </c>
      <c r="H3164" s="32">
        <f>H3163</f>
        <v>736239</v>
      </c>
    </row>
    <row r="3165" spans="1:8" s="2" customFormat="1">
      <c r="A3165" s="5"/>
      <c r="E3165" s="20"/>
      <c r="G3165" s="32"/>
      <c r="H3165" s="32"/>
    </row>
    <row r="3166" spans="1:8" s="2" customFormat="1">
      <c r="A3166" s="5" t="s">
        <v>500</v>
      </c>
      <c r="B3166" s="2" t="s">
        <v>1400</v>
      </c>
      <c r="E3166" s="20"/>
      <c r="G3166" s="32"/>
      <c r="H3166" s="32"/>
    </row>
    <row r="3167" spans="1:8" s="2" customFormat="1">
      <c r="A3167" s="5"/>
      <c r="E3167" s="20"/>
      <c r="G3167" s="32"/>
      <c r="H3167" s="32"/>
    </row>
    <row r="3168" spans="1:8" s="2" customFormat="1">
      <c r="A3168" s="5"/>
      <c r="C3168" s="2" t="s">
        <v>2234</v>
      </c>
      <c r="D3168" s="2">
        <v>110000</v>
      </c>
      <c r="E3168" s="20" t="s">
        <v>500</v>
      </c>
      <c r="F3168" s="2">
        <v>710000</v>
      </c>
      <c r="G3168" s="32">
        <v>80758</v>
      </c>
      <c r="H3168" s="32">
        <v>80758</v>
      </c>
    </row>
    <row r="3169" spans="1:8" s="2" customFormat="1">
      <c r="A3169" s="5"/>
      <c r="C3169" s="8" t="s">
        <v>2235</v>
      </c>
      <c r="E3169" s="20"/>
      <c r="G3169" s="32">
        <f>G3168</f>
        <v>80758</v>
      </c>
      <c r="H3169" s="32">
        <f>H3168</f>
        <v>80758</v>
      </c>
    </row>
    <row r="3170" spans="1:8" s="2" customFormat="1">
      <c r="A3170" s="5"/>
      <c r="E3170" s="20"/>
      <c r="G3170" s="32"/>
      <c r="H3170" s="32"/>
    </row>
    <row r="3171" spans="1:8" s="2" customFormat="1">
      <c r="A3171" s="5" t="s">
        <v>3038</v>
      </c>
      <c r="B3171" s="2" t="s">
        <v>2767</v>
      </c>
      <c r="E3171" s="20"/>
      <c r="G3171" s="32"/>
      <c r="H3171" s="32"/>
    </row>
    <row r="3172" spans="1:8" s="2" customFormat="1">
      <c r="A3172" s="5"/>
      <c r="E3172" s="20"/>
      <c r="G3172" s="32"/>
      <c r="H3172" s="32"/>
    </row>
    <row r="3173" spans="1:8" s="2" customFormat="1">
      <c r="A3173" s="5" t="s">
        <v>1992</v>
      </c>
      <c r="B3173" s="2" t="s">
        <v>2768</v>
      </c>
      <c r="C3173" s="2" t="s">
        <v>1608</v>
      </c>
      <c r="D3173" s="2">
        <v>110000</v>
      </c>
      <c r="E3173" s="20" t="s">
        <v>3038</v>
      </c>
      <c r="F3173" s="2">
        <v>610210</v>
      </c>
      <c r="G3173" s="32">
        <f>31494+711</f>
        <v>32205</v>
      </c>
      <c r="H3173" s="32">
        <f>31494+711</f>
        <v>32205</v>
      </c>
    </row>
    <row r="3174" spans="1:8" s="2" customFormat="1">
      <c r="A3174" s="5" t="s">
        <v>1993</v>
      </c>
      <c r="B3174" s="2" t="s">
        <v>2769</v>
      </c>
      <c r="C3174" s="2" t="s">
        <v>1028</v>
      </c>
      <c r="D3174" s="2">
        <v>110000</v>
      </c>
      <c r="E3174" s="20" t="s">
        <v>3038</v>
      </c>
      <c r="F3174" s="2">
        <v>610410</v>
      </c>
      <c r="G3174" s="32">
        <f>25706+720</f>
        <v>26426</v>
      </c>
      <c r="H3174" s="32">
        <f>25706+720</f>
        <v>26426</v>
      </c>
    </row>
    <row r="3175" spans="1:8" s="2" customFormat="1">
      <c r="A3175" s="5" t="s">
        <v>1994</v>
      </c>
      <c r="B3175" s="2" t="s">
        <v>2770</v>
      </c>
      <c r="C3175" s="2" t="s">
        <v>1028</v>
      </c>
      <c r="D3175" s="2">
        <v>110000</v>
      </c>
      <c r="E3175" s="20" t="s">
        <v>3038</v>
      </c>
      <c r="F3175" s="2">
        <v>610410</v>
      </c>
      <c r="G3175" s="32">
        <f>24726+692</f>
        <v>25418</v>
      </c>
      <c r="H3175" s="32">
        <f>24726+692</f>
        <v>25418</v>
      </c>
    </row>
    <row r="3176" spans="1:8" s="2" customFormat="1">
      <c r="A3176" s="5" t="s">
        <v>1995</v>
      </c>
      <c r="B3176" s="2" t="s">
        <v>2771</v>
      </c>
      <c r="C3176" s="2" t="s">
        <v>765</v>
      </c>
      <c r="D3176" s="2">
        <v>110000</v>
      </c>
      <c r="E3176" s="20" t="s">
        <v>3038</v>
      </c>
      <c r="F3176" s="2">
        <v>610410</v>
      </c>
      <c r="G3176" s="32">
        <f>10186+285</f>
        <v>10471</v>
      </c>
      <c r="H3176" s="32">
        <f>10186+285</f>
        <v>10471</v>
      </c>
    </row>
    <row r="3177" spans="1:8" s="2" customFormat="1">
      <c r="A3177" s="5" t="s">
        <v>1996</v>
      </c>
      <c r="B3177" s="2" t="s">
        <v>2487</v>
      </c>
      <c r="C3177" s="2" t="s">
        <v>765</v>
      </c>
      <c r="D3177" s="2">
        <v>110000</v>
      </c>
      <c r="E3177" s="20" t="s">
        <v>3038</v>
      </c>
      <c r="F3177" s="2">
        <v>610410</v>
      </c>
      <c r="G3177" s="32">
        <f>19875+557</f>
        <v>20432</v>
      </c>
      <c r="H3177" s="32">
        <f>19875+557</f>
        <v>20432</v>
      </c>
    </row>
    <row r="3178" spans="1:8" s="2" customFormat="1">
      <c r="A3178" s="5"/>
      <c r="C3178" s="2" t="s">
        <v>1611</v>
      </c>
      <c r="D3178" s="2">
        <v>110000</v>
      </c>
      <c r="E3178" s="20" t="s">
        <v>3038</v>
      </c>
      <c r="F3178" s="2">
        <v>620000</v>
      </c>
      <c r="G3178" s="32">
        <v>6000</v>
      </c>
      <c r="H3178" s="32">
        <f>G3178</f>
        <v>6000</v>
      </c>
    </row>
    <row r="3179" spans="1:8" s="2" customFormat="1">
      <c r="A3179" s="5"/>
      <c r="C3179" s="2" t="s">
        <v>2950</v>
      </c>
      <c r="D3179" s="2">
        <v>110000</v>
      </c>
      <c r="E3179" s="20" t="s">
        <v>3038</v>
      </c>
      <c r="F3179" s="2">
        <v>610000</v>
      </c>
      <c r="G3179" s="32"/>
      <c r="H3179" s="32"/>
    </row>
    <row r="3180" spans="1:8" s="2" customFormat="1">
      <c r="A3180" s="5"/>
      <c r="C3180" s="2" t="s">
        <v>2951</v>
      </c>
      <c r="D3180" s="2">
        <v>110000</v>
      </c>
      <c r="E3180" s="20" t="s">
        <v>3038</v>
      </c>
      <c r="F3180" s="2">
        <v>630000</v>
      </c>
      <c r="G3180" s="32">
        <f>SUM(G3173:G3177)*0.22+G3178*0.08</f>
        <v>25769.439999999999</v>
      </c>
      <c r="H3180" s="32">
        <f>SUM(H3173:H3177)*0.22+H3178*0.08</f>
        <v>25769.439999999999</v>
      </c>
    </row>
    <row r="3181" spans="1:8" s="2" customFormat="1">
      <c r="A3181" s="5"/>
      <c r="C3181" s="8" t="s">
        <v>1129</v>
      </c>
      <c r="E3181" s="20"/>
      <c r="G3181" s="32">
        <f>SUM(G3173:G3180)</f>
        <v>146721.44</v>
      </c>
      <c r="H3181" s="32">
        <f>SUM(H3173:H3180)</f>
        <v>146721.44</v>
      </c>
    </row>
    <row r="3182" spans="1:8" s="2" customFormat="1">
      <c r="A3182" s="5"/>
      <c r="C3182" s="2" t="s">
        <v>2234</v>
      </c>
      <c r="D3182" s="2">
        <v>110000</v>
      </c>
      <c r="E3182" s="20" t="s">
        <v>3038</v>
      </c>
      <c r="F3182" s="2">
        <v>710000</v>
      </c>
      <c r="G3182" s="32">
        <v>4203</v>
      </c>
      <c r="H3182" s="32">
        <v>4203</v>
      </c>
    </row>
    <row r="3183" spans="1:8" s="2" customFormat="1">
      <c r="A3183" s="5"/>
      <c r="C3183" s="2" t="s">
        <v>1406</v>
      </c>
      <c r="D3183" s="2">
        <v>110000</v>
      </c>
      <c r="E3183" s="20" t="s">
        <v>3038</v>
      </c>
      <c r="F3183" s="2">
        <v>710000</v>
      </c>
      <c r="G3183" s="32">
        <v>500</v>
      </c>
      <c r="H3183" s="32">
        <v>500</v>
      </c>
    </row>
    <row r="3184" spans="1:8" s="2" customFormat="1">
      <c r="A3184" s="5"/>
      <c r="C3184" s="8" t="s">
        <v>2235</v>
      </c>
      <c r="E3184" s="20"/>
      <c r="G3184" s="32">
        <f>SUM(G3181:G3183)</f>
        <v>151424.44</v>
      </c>
      <c r="H3184" s="32">
        <f>SUM(H3181:H3183)</f>
        <v>151424.44</v>
      </c>
    </row>
    <row r="3185" spans="1:8" s="2" customFormat="1">
      <c r="A3185" s="5"/>
      <c r="E3185" s="20"/>
      <c r="G3185" s="32"/>
      <c r="H3185" s="32"/>
    </row>
    <row r="3186" spans="1:8" s="2" customFormat="1">
      <c r="A3186" s="5" t="s">
        <v>3025</v>
      </c>
      <c r="B3186" s="2" t="s">
        <v>1401</v>
      </c>
      <c r="E3186" s="20"/>
      <c r="G3186" s="32"/>
      <c r="H3186" s="32"/>
    </row>
    <row r="3187" spans="1:8" s="2" customFormat="1">
      <c r="A3187" s="5"/>
      <c r="E3187" s="20"/>
      <c r="G3187" s="32"/>
      <c r="H3187" s="32"/>
    </row>
    <row r="3188" spans="1:8" s="2" customFormat="1">
      <c r="A3188" s="5" t="s">
        <v>2404</v>
      </c>
      <c r="B3188" s="2" t="s">
        <v>1402</v>
      </c>
      <c r="C3188" s="2" t="s">
        <v>148</v>
      </c>
      <c r="D3188" s="2">
        <v>110000</v>
      </c>
      <c r="E3188" s="20" t="s">
        <v>3025</v>
      </c>
      <c r="F3188" s="2">
        <v>610110</v>
      </c>
      <c r="G3188" s="32">
        <f>36673+990</f>
        <v>37663</v>
      </c>
      <c r="H3188" s="32">
        <f>36673+990</f>
        <v>37663</v>
      </c>
    </row>
    <row r="3189" spans="1:8" s="2" customFormat="1">
      <c r="A3189" s="5" t="s">
        <v>2405</v>
      </c>
      <c r="B3189" s="2" t="s">
        <v>1403</v>
      </c>
      <c r="C3189" s="2" t="s">
        <v>1404</v>
      </c>
      <c r="D3189" s="2">
        <v>110000</v>
      </c>
      <c r="E3189" s="20" t="s">
        <v>3025</v>
      </c>
      <c r="F3189" s="2">
        <v>610410</v>
      </c>
      <c r="G3189" s="32">
        <f>21034+589</f>
        <v>21623</v>
      </c>
      <c r="H3189" s="32">
        <f>21034+589</f>
        <v>21623</v>
      </c>
    </row>
    <row r="3190" spans="1:8" s="2" customFormat="1">
      <c r="A3190" s="5" t="s">
        <v>2406</v>
      </c>
      <c r="B3190" s="2" t="s">
        <v>1405</v>
      </c>
      <c r="C3190" s="2" t="s">
        <v>2485</v>
      </c>
      <c r="D3190" s="2">
        <v>110000</v>
      </c>
      <c r="E3190" s="20" t="s">
        <v>3025</v>
      </c>
      <c r="F3190" s="2">
        <v>610410</v>
      </c>
      <c r="G3190" s="32">
        <f>15119+423</f>
        <v>15542</v>
      </c>
      <c r="H3190" s="32">
        <f>15119+423</f>
        <v>15542</v>
      </c>
    </row>
    <row r="3191" spans="1:8" s="2" customFormat="1">
      <c r="A3191" s="5"/>
      <c r="C3191" s="2" t="s">
        <v>1611</v>
      </c>
      <c r="D3191" s="2">
        <v>110000</v>
      </c>
      <c r="E3191" s="20" t="s">
        <v>3025</v>
      </c>
      <c r="F3191" s="2">
        <v>620000</v>
      </c>
      <c r="G3191" s="32">
        <v>6000</v>
      </c>
      <c r="H3191" s="32">
        <f>G3191</f>
        <v>6000</v>
      </c>
    </row>
    <row r="3192" spans="1:8" s="2" customFormat="1">
      <c r="A3192" s="5"/>
      <c r="C3192" s="2" t="s">
        <v>2950</v>
      </c>
      <c r="D3192" s="2">
        <v>110000</v>
      </c>
      <c r="E3192" s="20" t="s">
        <v>3025</v>
      </c>
      <c r="F3192" s="2">
        <v>610000</v>
      </c>
      <c r="G3192" s="32"/>
      <c r="H3192" s="32">
        <f>G3192</f>
        <v>0</v>
      </c>
    </row>
    <row r="3193" spans="1:8" s="2" customFormat="1">
      <c r="A3193" s="5"/>
      <c r="C3193" s="2" t="s">
        <v>2951</v>
      </c>
      <c r="D3193" s="2">
        <v>110000</v>
      </c>
      <c r="E3193" s="20" t="s">
        <v>3025</v>
      </c>
      <c r="F3193" s="2">
        <v>630000</v>
      </c>
      <c r="G3193" s="32">
        <f>SUM(G3188:G3190)*0.21+G3191*0.08</f>
        <v>16193.88</v>
      </c>
      <c r="H3193" s="32">
        <f>SUM(H3188:H3190)*0.21+H3191*0.08</f>
        <v>16193.88</v>
      </c>
    </row>
    <row r="3194" spans="1:8" s="2" customFormat="1">
      <c r="A3194" s="5"/>
      <c r="C3194" s="8" t="s">
        <v>1129</v>
      </c>
      <c r="E3194" s="20"/>
      <c r="G3194" s="32">
        <f>SUM(G3188:G3193)</f>
        <v>97021.88</v>
      </c>
      <c r="H3194" s="32">
        <f>SUM(H3188:H3193)</f>
        <v>97021.88</v>
      </c>
    </row>
    <row r="3195" spans="1:8" s="2" customFormat="1">
      <c r="A3195" s="5"/>
      <c r="C3195" s="2" t="s">
        <v>2234</v>
      </c>
      <c r="D3195" s="2">
        <v>110000</v>
      </c>
      <c r="E3195" s="20" t="s">
        <v>3025</v>
      </c>
      <c r="F3195" s="2">
        <v>710000</v>
      </c>
      <c r="G3195" s="32">
        <v>7692</v>
      </c>
      <c r="H3195" s="32">
        <f>G3195</f>
        <v>7692</v>
      </c>
    </row>
    <row r="3196" spans="1:8" s="2" customFormat="1">
      <c r="A3196" s="5"/>
      <c r="C3196" s="2" t="s">
        <v>1406</v>
      </c>
      <c r="D3196" s="2">
        <v>110000</v>
      </c>
      <c r="E3196" s="20" t="s">
        <v>3025</v>
      </c>
      <c r="F3196" s="2">
        <v>710000</v>
      </c>
      <c r="G3196" s="32">
        <v>500</v>
      </c>
      <c r="H3196" s="32">
        <v>500</v>
      </c>
    </row>
    <row r="3197" spans="1:8" s="2" customFormat="1">
      <c r="A3197" s="5"/>
      <c r="C3197" s="8" t="s">
        <v>2235</v>
      </c>
      <c r="E3197" s="20"/>
      <c r="G3197" s="32">
        <f>SUM(G3194:G3196)</f>
        <v>105213.88</v>
      </c>
      <c r="H3197" s="32">
        <f>SUM(H3194:H3196)</f>
        <v>105213.88</v>
      </c>
    </row>
    <row r="3198" spans="1:8" s="2" customFormat="1">
      <c r="A3198" s="5"/>
      <c r="E3198" s="20"/>
      <c r="G3198" s="32"/>
      <c r="H3198" s="32"/>
    </row>
    <row r="3199" spans="1:8" s="2" customFormat="1">
      <c r="A3199" s="6" t="s">
        <v>2552</v>
      </c>
      <c r="B3199" s="2" t="s">
        <v>220</v>
      </c>
      <c r="D3199" s="26"/>
      <c r="G3199" s="32"/>
      <c r="H3199" s="32"/>
    </row>
    <row r="3200" spans="1:8" s="2" customFormat="1">
      <c r="D3200" s="26"/>
      <c r="G3200" s="32"/>
      <c r="H3200" s="32"/>
    </row>
    <row r="3201" spans="1:8" s="2" customFormat="1">
      <c r="A3201" s="5" t="s">
        <v>1852</v>
      </c>
      <c r="C3201" s="2" t="s">
        <v>2168</v>
      </c>
      <c r="D3201" s="26">
        <v>110000</v>
      </c>
      <c r="E3201" s="2">
        <v>750000</v>
      </c>
      <c r="F3201" s="2">
        <v>610110</v>
      </c>
      <c r="G3201" s="32">
        <v>73500</v>
      </c>
      <c r="H3201" s="32">
        <v>73500</v>
      </c>
    </row>
    <row r="3202" spans="1:8" s="2" customFormat="1">
      <c r="A3202" s="5" t="s">
        <v>1853</v>
      </c>
      <c r="B3202" s="2" t="s">
        <v>221</v>
      </c>
      <c r="C3202" s="2" t="s">
        <v>2170</v>
      </c>
      <c r="D3202" s="26">
        <v>110000</v>
      </c>
      <c r="E3202" s="2">
        <v>750000</v>
      </c>
      <c r="F3202" s="2">
        <v>610210</v>
      </c>
      <c r="G3202" s="32">
        <v>40229</v>
      </c>
      <c r="H3202" s="32">
        <v>40229</v>
      </c>
    </row>
    <row r="3203" spans="1:8" s="2" customFormat="1">
      <c r="A3203" s="5" t="s">
        <v>1854</v>
      </c>
      <c r="B3203" s="2" t="s">
        <v>222</v>
      </c>
      <c r="C3203" s="2" t="s">
        <v>2170</v>
      </c>
      <c r="D3203" s="26">
        <v>110000</v>
      </c>
      <c r="E3203" s="2">
        <v>750000</v>
      </c>
      <c r="F3203" s="2">
        <v>610210</v>
      </c>
      <c r="G3203" s="32">
        <v>27626</v>
      </c>
      <c r="H3203" s="32">
        <v>27626</v>
      </c>
    </row>
    <row r="3204" spans="1:8" s="2" customFormat="1">
      <c r="A3204" s="5" t="s">
        <v>924</v>
      </c>
      <c r="B3204" s="2" t="s">
        <v>223</v>
      </c>
      <c r="C3204" s="2" t="s">
        <v>2170</v>
      </c>
      <c r="D3204" s="26"/>
      <c r="G3204" s="32">
        <v>30512</v>
      </c>
      <c r="H3204" s="32"/>
    </row>
    <row r="3205" spans="1:8" s="2" customFormat="1">
      <c r="A3205" s="5" t="s">
        <v>1855</v>
      </c>
      <c r="B3205" s="2" t="s">
        <v>224</v>
      </c>
      <c r="C3205" s="2" t="s">
        <v>1608</v>
      </c>
      <c r="D3205" s="26">
        <v>110000</v>
      </c>
      <c r="E3205" s="2">
        <v>750000</v>
      </c>
      <c r="F3205" s="2">
        <v>610210</v>
      </c>
      <c r="G3205" s="32">
        <v>33589</v>
      </c>
      <c r="H3205" s="32">
        <v>33589</v>
      </c>
    </row>
    <row r="3206" spans="1:8" s="2" customFormat="1">
      <c r="A3206" s="5" t="s">
        <v>1856</v>
      </c>
      <c r="B3206" s="2" t="s">
        <v>225</v>
      </c>
      <c r="C3206" s="2" t="s">
        <v>1608</v>
      </c>
      <c r="D3206" s="26">
        <v>110000</v>
      </c>
      <c r="E3206" s="2">
        <v>750000</v>
      </c>
      <c r="F3206" s="2">
        <v>610210</v>
      </c>
      <c r="G3206" s="32">
        <v>32928</v>
      </c>
      <c r="H3206" s="32">
        <v>32928</v>
      </c>
    </row>
    <row r="3207" spans="1:8" s="2" customFormat="1">
      <c r="A3207" s="5" t="s">
        <v>1838</v>
      </c>
      <c r="B3207" s="2" t="s">
        <v>2155</v>
      </c>
      <c r="C3207" s="2" t="s">
        <v>1608</v>
      </c>
      <c r="D3207" s="26">
        <v>110000</v>
      </c>
      <c r="E3207" s="2">
        <v>750000</v>
      </c>
      <c r="F3207" s="2">
        <v>610210</v>
      </c>
      <c r="G3207" s="32">
        <f>14394+403</f>
        <v>14797</v>
      </c>
      <c r="H3207" s="32">
        <f>14394+403</f>
        <v>14797</v>
      </c>
    </row>
    <row r="3208" spans="1:8" s="2" customFormat="1">
      <c r="A3208" s="5"/>
      <c r="D3208" s="26">
        <v>110000</v>
      </c>
      <c r="E3208" s="2">
        <v>750100</v>
      </c>
      <c r="F3208" s="2">
        <v>610210</v>
      </c>
      <c r="G3208" s="32">
        <f>14112+395</f>
        <v>14507</v>
      </c>
      <c r="H3208" s="32"/>
    </row>
    <row r="3209" spans="1:8" s="2" customFormat="1">
      <c r="A3209" s="5"/>
      <c r="D3209" s="26"/>
      <c r="E3209" s="2" t="s">
        <v>2880</v>
      </c>
      <c r="G3209" s="32">
        <f>G3207+G3208</f>
        <v>29304</v>
      </c>
      <c r="H3209" s="32">
        <f>H3207+H3208</f>
        <v>14797</v>
      </c>
    </row>
    <row r="3210" spans="1:8" s="2" customFormat="1">
      <c r="A3210" s="5" t="s">
        <v>1857</v>
      </c>
      <c r="B3210" s="2" t="s">
        <v>226</v>
      </c>
      <c r="C3210" s="2" t="s">
        <v>1608</v>
      </c>
      <c r="D3210" s="26">
        <v>110000</v>
      </c>
      <c r="E3210" s="2">
        <v>750000</v>
      </c>
      <c r="F3210" s="2">
        <v>610210</v>
      </c>
      <c r="G3210" s="32">
        <v>31054</v>
      </c>
      <c r="H3210" s="32">
        <v>31054</v>
      </c>
    </row>
    <row r="3211" spans="1:8" s="2" customFormat="1">
      <c r="A3211" s="5" t="s">
        <v>1858</v>
      </c>
      <c r="B3211" s="2" t="s">
        <v>227</v>
      </c>
      <c r="C3211" s="2" t="s">
        <v>1608</v>
      </c>
      <c r="D3211" s="26">
        <v>110000</v>
      </c>
      <c r="E3211" s="2">
        <v>750000</v>
      </c>
      <c r="F3211" s="2">
        <v>610210</v>
      </c>
      <c r="G3211" s="32">
        <v>32125</v>
      </c>
      <c r="H3211" s="32">
        <v>32125</v>
      </c>
    </row>
    <row r="3212" spans="1:8" s="2" customFormat="1">
      <c r="A3212" s="5" t="s">
        <v>1859</v>
      </c>
      <c r="B3212" s="2" t="s">
        <v>228</v>
      </c>
      <c r="C3212" s="2" t="s">
        <v>1608</v>
      </c>
      <c r="D3212" s="26">
        <v>110000</v>
      </c>
      <c r="E3212" s="2">
        <v>750000</v>
      </c>
      <c r="F3212" s="2">
        <v>610210</v>
      </c>
      <c r="G3212" s="32">
        <f>33310+933</f>
        <v>34243</v>
      </c>
      <c r="H3212" s="32">
        <f>33310+933</f>
        <v>34243</v>
      </c>
    </row>
    <row r="3213" spans="1:8" s="2" customFormat="1">
      <c r="A3213" s="5" t="s">
        <v>1860</v>
      </c>
      <c r="B3213" s="2" t="s">
        <v>229</v>
      </c>
      <c r="C3213" s="2" t="s">
        <v>230</v>
      </c>
      <c r="D3213" s="26">
        <v>110000</v>
      </c>
      <c r="E3213" s="2">
        <v>750000</v>
      </c>
      <c r="F3213" s="2">
        <v>610410</v>
      </c>
      <c r="G3213" s="32">
        <f>28141+788</f>
        <v>28929</v>
      </c>
      <c r="H3213" s="32">
        <f>28141+788</f>
        <v>28929</v>
      </c>
    </row>
    <row r="3214" spans="1:8" s="2" customFormat="1">
      <c r="A3214" s="5" t="s">
        <v>1861</v>
      </c>
      <c r="B3214" s="2" t="s">
        <v>231</v>
      </c>
      <c r="C3214" s="2" t="s">
        <v>900</v>
      </c>
      <c r="D3214" s="26">
        <v>110000</v>
      </c>
      <c r="E3214" s="2">
        <v>750000</v>
      </c>
      <c r="F3214" s="2">
        <v>610410</v>
      </c>
      <c r="G3214" s="32">
        <f>32239+903</f>
        <v>33142</v>
      </c>
      <c r="H3214" s="32">
        <f>32239+903</f>
        <v>33142</v>
      </c>
    </row>
    <row r="3215" spans="1:8" s="2" customFormat="1">
      <c r="A3215" s="5" t="s">
        <v>1862</v>
      </c>
      <c r="B3215" s="2" t="s">
        <v>1058</v>
      </c>
      <c r="C3215" s="2" t="s">
        <v>1023</v>
      </c>
      <c r="D3215" s="26">
        <v>110000</v>
      </c>
      <c r="E3215" s="2">
        <v>750000</v>
      </c>
      <c r="F3215" s="2">
        <v>610410</v>
      </c>
      <c r="G3215" s="32">
        <f>8416+236</f>
        <v>8652</v>
      </c>
      <c r="H3215" s="32">
        <f>8416+236</f>
        <v>8652</v>
      </c>
    </row>
    <row r="3216" spans="1:8" s="2" customFormat="1">
      <c r="A3216" s="5"/>
      <c r="D3216" s="26"/>
      <c r="G3216" s="32">
        <v>8416</v>
      </c>
      <c r="H3216" s="32"/>
    </row>
    <row r="3217" spans="1:8" s="2" customFormat="1">
      <c r="A3217" s="5"/>
      <c r="D3217" s="26"/>
      <c r="E3217" s="2" t="s">
        <v>2880</v>
      </c>
      <c r="G3217" s="32">
        <f>SUM(G3215:G3216)</f>
        <v>17068</v>
      </c>
      <c r="H3217" s="32">
        <f>SUM(H3215:H3216)</f>
        <v>8652</v>
      </c>
    </row>
    <row r="3218" spans="1:8" s="2" customFormat="1">
      <c r="A3218" s="5" t="s">
        <v>1863</v>
      </c>
      <c r="B3218" s="2" t="s">
        <v>232</v>
      </c>
      <c r="C3218" s="2" t="s">
        <v>233</v>
      </c>
      <c r="D3218" s="26">
        <v>110000</v>
      </c>
      <c r="E3218" s="2">
        <v>750000</v>
      </c>
      <c r="F3218" s="2">
        <v>610410</v>
      </c>
      <c r="G3218" s="32">
        <f>2908+81</f>
        <v>2989</v>
      </c>
      <c r="H3218" s="32">
        <f>2908+81</f>
        <v>2989</v>
      </c>
    </row>
    <row r="3219" spans="1:8" s="2" customFormat="1">
      <c r="D3219" s="26"/>
      <c r="G3219" s="32">
        <v>11634</v>
      </c>
      <c r="H3219" s="32"/>
    </row>
    <row r="3220" spans="1:8" s="2" customFormat="1">
      <c r="D3220" s="26"/>
      <c r="E3220" s="2" t="s">
        <v>2880</v>
      </c>
      <c r="G3220" s="32">
        <f>G3218+G3219</f>
        <v>14623</v>
      </c>
      <c r="H3220" s="32">
        <f>H3218+H3219</f>
        <v>2989</v>
      </c>
    </row>
    <row r="3221" spans="1:8" s="2" customFormat="1">
      <c r="A3221" s="5" t="s">
        <v>1839</v>
      </c>
      <c r="B3221" s="2" t="s">
        <v>2156</v>
      </c>
      <c r="C3221" s="2" t="s">
        <v>1151</v>
      </c>
      <c r="D3221" s="26">
        <v>110000</v>
      </c>
      <c r="E3221" s="2">
        <v>750100</v>
      </c>
      <c r="F3221" s="2">
        <v>610000</v>
      </c>
      <c r="G3221" s="32">
        <v>38057</v>
      </c>
      <c r="H3221" s="32"/>
    </row>
    <row r="3222" spans="1:8" s="2" customFormat="1">
      <c r="A3222" s="5" t="s">
        <v>234</v>
      </c>
      <c r="C3222" s="2" t="s">
        <v>1611</v>
      </c>
      <c r="D3222" s="26">
        <v>110000</v>
      </c>
      <c r="E3222" s="2">
        <v>750000</v>
      </c>
      <c r="F3222" s="2">
        <v>620000</v>
      </c>
      <c r="G3222" s="32">
        <v>7000</v>
      </c>
      <c r="H3222" s="32">
        <f>G3222</f>
        <v>7000</v>
      </c>
    </row>
    <row r="3223" spans="1:8" s="2" customFormat="1">
      <c r="A3223" s="5" t="s">
        <v>235</v>
      </c>
      <c r="C3223" s="2" t="s">
        <v>2748</v>
      </c>
      <c r="D3223" s="26">
        <v>110000</v>
      </c>
      <c r="E3223" s="2">
        <v>750000</v>
      </c>
      <c r="F3223" s="2">
        <v>620000</v>
      </c>
      <c r="G3223" s="32">
        <v>155618</v>
      </c>
      <c r="H3223" s="32">
        <f>G3223</f>
        <v>155618</v>
      </c>
    </row>
    <row r="3224" spans="1:8" s="2" customFormat="1">
      <c r="A3224" s="5" t="s">
        <v>975</v>
      </c>
      <c r="C3224" s="2" t="s">
        <v>2950</v>
      </c>
      <c r="D3224" s="26">
        <v>110000</v>
      </c>
      <c r="E3224" s="2">
        <v>750000</v>
      </c>
      <c r="F3224" s="2">
        <v>610000</v>
      </c>
      <c r="G3224" s="32"/>
      <c r="H3224" s="32"/>
    </row>
    <row r="3225" spans="1:8" s="2" customFormat="1">
      <c r="C3225" s="2" t="s">
        <v>2951</v>
      </c>
      <c r="D3225" s="26">
        <v>110000</v>
      </c>
      <c r="E3225" s="2">
        <v>750000</v>
      </c>
      <c r="F3225" s="2">
        <v>630000</v>
      </c>
      <c r="G3225" s="32">
        <f>(SUM(G3201:G3224)-G3209-G3220)*0.15</f>
        <v>101492.25</v>
      </c>
      <c r="H3225" s="32">
        <f>(SUM(H3201:H3224)-H3209-H3220)*0.15</f>
        <v>84760.95</v>
      </c>
    </row>
    <row r="3226" spans="1:8" s="2" customFormat="1">
      <c r="C3226" s="8" t="s">
        <v>1129</v>
      </c>
      <c r="D3226" s="26"/>
      <c r="G3226" s="32">
        <f>SUM(G3201:G3225)-G3209-G3220-G3217</f>
        <v>761039.25</v>
      </c>
      <c r="H3226" s="32">
        <f>SUM(H3201:H3225)-H3209-H3220-H3217</f>
        <v>641181.94999999995</v>
      </c>
    </row>
    <row r="3227" spans="1:8" s="2" customFormat="1">
      <c r="A3227" s="6" t="s">
        <v>2552</v>
      </c>
      <c r="B3227" s="2" t="s">
        <v>220</v>
      </c>
      <c r="C3227" s="8"/>
      <c r="D3227" s="26"/>
      <c r="G3227" s="32"/>
      <c r="H3227" s="32"/>
    </row>
    <row r="3228" spans="1:8" s="2" customFormat="1">
      <c r="C3228" s="8"/>
      <c r="D3228" s="26"/>
      <c r="G3228" s="32"/>
      <c r="H3228" s="32"/>
    </row>
    <row r="3229" spans="1:8" s="2" customFormat="1">
      <c r="C3229" s="2" t="s">
        <v>2234</v>
      </c>
      <c r="D3229" s="26">
        <v>110000</v>
      </c>
      <c r="E3229" s="2">
        <v>750000</v>
      </c>
      <c r="F3229" s="2">
        <v>710000</v>
      </c>
      <c r="G3229" s="32">
        <v>44200</v>
      </c>
      <c r="H3229" s="32">
        <f>G3229</f>
        <v>44200</v>
      </c>
    </row>
    <row r="3230" spans="1:8" s="2" customFormat="1">
      <c r="C3230" s="2" t="s">
        <v>976</v>
      </c>
      <c r="D3230" s="26">
        <v>110000</v>
      </c>
      <c r="E3230" s="2">
        <v>750000</v>
      </c>
      <c r="F3230" s="2">
        <v>710000</v>
      </c>
      <c r="G3230" s="32">
        <v>15072</v>
      </c>
      <c r="H3230" s="32">
        <f>G3230</f>
        <v>15072</v>
      </c>
    </row>
    <row r="3231" spans="1:8" s="2" customFormat="1">
      <c r="C3231" s="2" t="s">
        <v>502</v>
      </c>
      <c r="D3231" s="26">
        <v>110000</v>
      </c>
      <c r="E3231" s="2">
        <v>750000</v>
      </c>
      <c r="F3231" s="2">
        <v>710000</v>
      </c>
      <c r="G3231" s="32">
        <v>3000</v>
      </c>
      <c r="H3231" s="32">
        <f>G3231</f>
        <v>3000</v>
      </c>
    </row>
    <row r="3232" spans="1:8" s="2" customFormat="1">
      <c r="C3232" s="8" t="s">
        <v>2235</v>
      </c>
      <c r="D3232" s="26"/>
      <c r="G3232" s="32">
        <f>SUM(G3226:G3231)</f>
        <v>823311.25</v>
      </c>
      <c r="H3232" s="32">
        <f>SUM(H3226:H3231)</f>
        <v>703453.95</v>
      </c>
    </row>
    <row r="3233" spans="1:8" s="2" customFormat="1">
      <c r="D3233" s="26"/>
      <c r="G3233" s="32"/>
      <c r="H3233" s="32"/>
    </row>
    <row r="3234" spans="1:8" s="2" customFormat="1">
      <c r="A3234" s="6" t="s">
        <v>2550</v>
      </c>
      <c r="B3234" s="2" t="s">
        <v>2154</v>
      </c>
      <c r="D3234" s="26"/>
      <c r="G3234" s="32"/>
      <c r="H3234" s="32"/>
    </row>
    <row r="3235" spans="1:8" s="2" customFormat="1">
      <c r="D3235" s="26"/>
      <c r="G3235" s="32"/>
      <c r="H3235" s="32"/>
    </row>
    <row r="3236" spans="1:8" s="2" customFormat="1">
      <c r="A3236" s="5" t="s">
        <v>1838</v>
      </c>
      <c r="B3236" s="2" t="s">
        <v>2155</v>
      </c>
      <c r="C3236" s="2" t="s">
        <v>1608</v>
      </c>
      <c r="D3236" s="26">
        <v>110000</v>
      </c>
      <c r="E3236" s="2">
        <v>750100</v>
      </c>
      <c r="F3236" s="2">
        <v>610210</v>
      </c>
      <c r="G3236" s="32">
        <f>14112+395</f>
        <v>14507</v>
      </c>
      <c r="H3236" s="32">
        <f>14112+395</f>
        <v>14507</v>
      </c>
    </row>
    <row r="3237" spans="1:8" s="2" customFormat="1">
      <c r="A3237" s="5"/>
      <c r="D3237" s="26">
        <v>110000</v>
      </c>
      <c r="E3237" s="2">
        <v>750000</v>
      </c>
      <c r="F3237" s="2">
        <v>610210</v>
      </c>
      <c r="G3237" s="32">
        <f>14394+403</f>
        <v>14797</v>
      </c>
      <c r="H3237" s="32"/>
    </row>
    <row r="3238" spans="1:8" s="2" customFormat="1">
      <c r="A3238" s="5"/>
      <c r="D3238" s="26"/>
      <c r="E3238" s="2" t="s">
        <v>2880</v>
      </c>
      <c r="G3238" s="32">
        <f>G3236+G3237</f>
        <v>29304</v>
      </c>
      <c r="H3238" s="32">
        <f>H3236+H3237</f>
        <v>14507</v>
      </c>
    </row>
    <row r="3239" spans="1:8" s="2" customFormat="1">
      <c r="A3239" s="5" t="s">
        <v>1839</v>
      </c>
      <c r="B3239" s="2" t="s">
        <v>2156</v>
      </c>
      <c r="C3239" s="2" t="s">
        <v>1151</v>
      </c>
      <c r="D3239" s="26">
        <v>110000</v>
      </c>
      <c r="E3239" s="2">
        <v>750100</v>
      </c>
      <c r="F3239" s="2">
        <v>610210</v>
      </c>
      <c r="G3239" s="32">
        <f>38057+913</f>
        <v>38970</v>
      </c>
      <c r="H3239" s="32">
        <f>38057+913</f>
        <v>38970</v>
      </c>
    </row>
    <row r="3240" spans="1:8" s="2" customFormat="1">
      <c r="A3240" s="5" t="s">
        <v>2157</v>
      </c>
      <c r="C3240" s="2" t="s">
        <v>2950</v>
      </c>
      <c r="D3240" s="26">
        <v>110000</v>
      </c>
      <c r="E3240" s="2">
        <v>750100</v>
      </c>
      <c r="F3240" s="2">
        <v>610000</v>
      </c>
      <c r="G3240" s="32"/>
      <c r="H3240" s="32"/>
    </row>
    <row r="3241" spans="1:8" s="2" customFormat="1">
      <c r="C3241" s="2" t="s">
        <v>2951</v>
      </c>
      <c r="D3241" s="26">
        <v>110000</v>
      </c>
      <c r="E3241" s="2">
        <v>750100</v>
      </c>
      <c r="F3241" s="2">
        <v>630000</v>
      </c>
      <c r="G3241" s="32">
        <f>(SUM(G3236:G3240)-G3238)*0.18</f>
        <v>12289.32</v>
      </c>
      <c r="H3241" s="32">
        <f>(SUM(H3236:H3240)-H3238)*0.18</f>
        <v>9625.8599999999988</v>
      </c>
    </row>
    <row r="3242" spans="1:8" s="2" customFormat="1">
      <c r="C3242" s="8" t="s">
        <v>1129</v>
      </c>
      <c r="D3242" s="26"/>
      <c r="G3242" s="32">
        <f>SUM(G3236:G3241)-G3238</f>
        <v>80563.320000000007</v>
      </c>
      <c r="H3242" s="32">
        <f>SUM(H3236:H3241)-H3238</f>
        <v>63102.86</v>
      </c>
    </row>
    <row r="3243" spans="1:8" s="2" customFormat="1">
      <c r="C3243" s="2" t="s">
        <v>2234</v>
      </c>
      <c r="D3243" s="26">
        <v>110000</v>
      </c>
      <c r="E3243" s="2">
        <v>750100</v>
      </c>
      <c r="F3243" s="2">
        <v>710000</v>
      </c>
      <c r="G3243" s="32">
        <v>100004</v>
      </c>
      <c r="H3243" s="32">
        <f>G3243</f>
        <v>100004</v>
      </c>
    </row>
    <row r="3244" spans="1:8" s="2" customFormat="1">
      <c r="C3244" s="2" t="s">
        <v>2147</v>
      </c>
      <c r="D3244" s="26">
        <v>110000</v>
      </c>
      <c r="E3244" s="2">
        <v>750100</v>
      </c>
      <c r="F3244" s="2">
        <v>790700</v>
      </c>
      <c r="G3244" s="32">
        <f>H3244</f>
        <v>16310.686</v>
      </c>
      <c r="H3244" s="32">
        <f>(H3242+H3243)*0.1</f>
        <v>16310.686</v>
      </c>
    </row>
    <row r="3245" spans="1:8" s="2" customFormat="1">
      <c r="C3245" s="8" t="s">
        <v>2235</v>
      </c>
      <c r="D3245" s="26"/>
      <c r="G3245" s="32">
        <f>SUM(G3242:G3244)</f>
        <v>196878.00599999999</v>
      </c>
      <c r="H3245" s="32">
        <f>SUM(H3242:H3244)</f>
        <v>179417.54599999997</v>
      </c>
    </row>
    <row r="3246" spans="1:8" s="2" customFormat="1">
      <c r="A3246" s="15"/>
      <c r="D3246" s="26"/>
      <c r="G3246" s="32"/>
      <c r="H3246" s="32"/>
    </row>
    <row r="3251" spans="1:8" s="2" customFormat="1">
      <c r="A3251" s="6" t="s">
        <v>3027</v>
      </c>
      <c r="B3251" s="2" t="s">
        <v>2108</v>
      </c>
      <c r="G3251" s="32"/>
      <c r="H3251" s="32"/>
    </row>
    <row r="3252" spans="1:8" s="2" customFormat="1">
      <c r="A3252" s="5"/>
      <c r="G3252" s="32"/>
      <c r="H3252" s="32"/>
    </row>
    <row r="3253" spans="1:8" s="2" customFormat="1">
      <c r="A3253" s="5" t="s">
        <v>1716</v>
      </c>
      <c r="B3253" s="2" t="s">
        <v>2109</v>
      </c>
      <c r="C3253" s="2" t="s">
        <v>2110</v>
      </c>
      <c r="D3253" s="2">
        <v>190000</v>
      </c>
      <c r="E3253" s="2">
        <v>420000</v>
      </c>
      <c r="F3253" s="2">
        <v>610210</v>
      </c>
      <c r="G3253" s="32">
        <f>82774+2226</f>
        <v>85000</v>
      </c>
      <c r="H3253" s="32">
        <f>82774+2226</f>
        <v>85000</v>
      </c>
    </row>
    <row r="3254" spans="1:8" s="2" customFormat="1">
      <c r="A3254" s="5" t="s">
        <v>1717</v>
      </c>
      <c r="C3254" s="2" t="s">
        <v>2111</v>
      </c>
      <c r="D3254" s="2">
        <v>190000</v>
      </c>
      <c r="E3254" s="2">
        <v>420000</v>
      </c>
      <c r="F3254" s="2">
        <v>610210</v>
      </c>
      <c r="G3254" s="32">
        <v>22433</v>
      </c>
      <c r="H3254" s="32">
        <v>22433</v>
      </c>
    </row>
    <row r="3255" spans="1:8" s="2" customFormat="1">
      <c r="A3255" s="5" t="s">
        <v>828</v>
      </c>
      <c r="B3255" s="2" t="s">
        <v>1636</v>
      </c>
      <c r="C3255" s="2" t="s">
        <v>1593</v>
      </c>
      <c r="D3255" s="2">
        <v>190000</v>
      </c>
      <c r="E3255" s="2">
        <v>420000</v>
      </c>
      <c r="F3255" s="2">
        <v>610210</v>
      </c>
      <c r="G3255" s="32">
        <f>31302+3688+2432</f>
        <v>37422</v>
      </c>
      <c r="H3255" s="32">
        <f>31302+3688+2432</f>
        <v>37422</v>
      </c>
    </row>
    <row r="3256" spans="1:8" s="2" customFormat="1">
      <c r="A3256" s="5"/>
      <c r="D3256" s="2">
        <v>110000</v>
      </c>
      <c r="E3256" s="2">
        <v>410000</v>
      </c>
      <c r="F3256" s="2">
        <v>610210</v>
      </c>
      <c r="G3256" s="32">
        <f>10454+262</f>
        <v>10716</v>
      </c>
      <c r="H3256" s="32"/>
    </row>
    <row r="3257" spans="1:8" s="2" customFormat="1">
      <c r="A3257" s="5"/>
      <c r="E3257" s="2" t="s">
        <v>2880</v>
      </c>
      <c r="G3257" s="32">
        <f>G3255+G3256</f>
        <v>48138</v>
      </c>
      <c r="H3257" s="32">
        <f>H3255+H3256</f>
        <v>37422</v>
      </c>
    </row>
    <row r="3258" spans="1:8" s="2" customFormat="1">
      <c r="A3258" s="5" t="s">
        <v>1718</v>
      </c>
      <c r="B3258" s="2" t="s">
        <v>2070</v>
      </c>
      <c r="C3258" s="2" t="s">
        <v>1023</v>
      </c>
      <c r="D3258" s="2">
        <v>190000</v>
      </c>
      <c r="E3258" s="2">
        <v>420000</v>
      </c>
      <c r="F3258" s="2">
        <v>610410</v>
      </c>
      <c r="G3258" s="32">
        <f>18167+509</f>
        <v>18676</v>
      </c>
      <c r="H3258" s="32">
        <f>18167+509</f>
        <v>18676</v>
      </c>
    </row>
    <row r="3259" spans="1:8" s="2" customFormat="1">
      <c r="A3259" s="5" t="s">
        <v>1719</v>
      </c>
      <c r="B3259" s="2" t="s">
        <v>114</v>
      </c>
      <c r="C3259" s="2" t="s">
        <v>2884</v>
      </c>
      <c r="D3259" s="2">
        <v>190000</v>
      </c>
      <c r="E3259" s="2">
        <v>420000</v>
      </c>
      <c r="F3259" s="2">
        <v>610210</v>
      </c>
      <c r="G3259" s="32">
        <f>19824+5133</f>
        <v>24957</v>
      </c>
      <c r="H3259" s="32">
        <f>19824+5133</f>
        <v>24957</v>
      </c>
    </row>
    <row r="3260" spans="1:8" s="2" customFormat="1">
      <c r="A3260" s="5" t="s">
        <v>1720</v>
      </c>
      <c r="C3260" s="2" t="s">
        <v>1453</v>
      </c>
      <c r="D3260" s="2">
        <v>190000</v>
      </c>
      <c r="E3260" s="2">
        <v>420000</v>
      </c>
      <c r="F3260" s="2">
        <v>610410</v>
      </c>
      <c r="G3260" s="32">
        <v>18000</v>
      </c>
      <c r="H3260" s="32">
        <v>18000</v>
      </c>
    </row>
    <row r="3261" spans="1:8" s="2" customFormat="1">
      <c r="A3261" s="5"/>
      <c r="C3261" s="2" t="s">
        <v>115</v>
      </c>
      <c r="D3261" s="2">
        <v>190000</v>
      </c>
      <c r="E3261" s="2">
        <v>420000</v>
      </c>
      <c r="F3261" s="2">
        <v>610910</v>
      </c>
      <c r="G3261" s="32">
        <v>300</v>
      </c>
      <c r="H3261" s="32">
        <v>300</v>
      </c>
    </row>
    <row r="3262" spans="1:8" s="2" customFormat="1">
      <c r="A3262" s="5" t="s">
        <v>116</v>
      </c>
      <c r="C3262" s="2" t="s">
        <v>2950</v>
      </c>
      <c r="D3262" s="2">
        <v>190000</v>
      </c>
      <c r="E3262" s="2">
        <v>420000</v>
      </c>
      <c r="F3262" s="2">
        <v>610000</v>
      </c>
      <c r="G3262" s="37">
        <f>46235-20142-2432-4973</f>
        <v>18688</v>
      </c>
      <c r="H3262" s="37">
        <f>46235-20142-2432-4973</f>
        <v>18688</v>
      </c>
    </row>
    <row r="3263" spans="1:8" s="2" customFormat="1">
      <c r="A3263" s="5"/>
      <c r="C3263" s="2" t="s">
        <v>2951</v>
      </c>
      <c r="D3263" s="2">
        <v>190000</v>
      </c>
      <c r="E3263" s="2">
        <v>420000</v>
      </c>
      <c r="F3263" s="2">
        <v>630000</v>
      </c>
      <c r="G3263" s="32">
        <f>(SUM(G3253:G3262)-G3257-G3262)*0.21</f>
        <v>45675.839999999997</v>
      </c>
      <c r="H3263" s="32">
        <f>(SUM(H3253:H3262)-H3257-H3262)*0.21-63</f>
        <v>43362.479999999996</v>
      </c>
    </row>
    <row r="3264" spans="1:8" s="2" customFormat="1">
      <c r="A3264" s="5"/>
      <c r="C3264" s="8" t="s">
        <v>1129</v>
      </c>
      <c r="G3264" s="32">
        <f>SUM(G3253:G3263)-G3257</f>
        <v>281867.83999999997</v>
      </c>
      <c r="H3264" s="32">
        <f>SUM(H3253:H3263)-H3257</f>
        <v>268838.48</v>
      </c>
    </row>
    <row r="3265" spans="1:8" s="2" customFormat="1">
      <c r="A3265" s="5"/>
      <c r="C3265" s="2" t="s">
        <v>2234</v>
      </c>
      <c r="D3265" s="2">
        <v>190000</v>
      </c>
      <c r="E3265" s="2">
        <v>420000</v>
      </c>
      <c r="F3265" s="2">
        <v>710000</v>
      </c>
      <c r="G3265" s="32">
        <v>121000</v>
      </c>
      <c r="H3265" s="32">
        <v>121000</v>
      </c>
    </row>
    <row r="3266" spans="1:8" s="2" customFormat="1">
      <c r="A3266" s="5"/>
      <c r="C3266" s="2" t="s">
        <v>528</v>
      </c>
      <c r="D3266" s="2">
        <v>190000</v>
      </c>
      <c r="E3266" s="2">
        <v>420000</v>
      </c>
      <c r="F3266" s="2">
        <v>710000</v>
      </c>
      <c r="G3266" s="32">
        <v>9160</v>
      </c>
      <c r="H3266" s="32">
        <v>9160</v>
      </c>
    </row>
    <row r="3267" spans="1:8" s="2" customFormat="1">
      <c r="A3267" s="5"/>
      <c r="C3267" s="8" t="s">
        <v>2235</v>
      </c>
      <c r="G3267" s="32">
        <f>SUM(G3264:G3266)</f>
        <v>412027.83999999997</v>
      </c>
      <c r="H3267" s="32">
        <f>SUM(H3264:H3266)</f>
        <v>398998.48</v>
      </c>
    </row>
    <row r="3268" spans="1:8" s="2" customFormat="1">
      <c r="A3268" s="5"/>
      <c r="G3268" s="32"/>
      <c r="H3268" s="32"/>
    </row>
    <row r="3269" spans="1:8" s="2" customFormat="1">
      <c r="A3269" s="6" t="s">
        <v>3027</v>
      </c>
      <c r="B3269" s="2" t="s">
        <v>117</v>
      </c>
      <c r="G3269" s="32"/>
      <c r="H3269" s="32"/>
    </row>
    <row r="3270" spans="1:8" s="2" customFormat="1">
      <c r="A3270" s="20"/>
      <c r="G3270" s="32"/>
      <c r="H3270" s="32"/>
    </row>
    <row r="3271" spans="1:8" s="2" customFormat="1">
      <c r="A3271" s="5"/>
      <c r="C3271" s="2" t="s">
        <v>2234</v>
      </c>
      <c r="D3271" s="2">
        <v>190000</v>
      </c>
      <c r="E3271" s="2">
        <v>420000</v>
      </c>
      <c r="F3271" s="2">
        <v>710000</v>
      </c>
      <c r="G3271" s="32">
        <v>323537</v>
      </c>
      <c r="H3271" s="32">
        <v>323537</v>
      </c>
    </row>
    <row r="3272" spans="1:8" s="2" customFormat="1">
      <c r="A3272" s="5"/>
      <c r="C3272" s="8" t="s">
        <v>2235</v>
      </c>
      <c r="G3272" s="32">
        <f>G3271</f>
        <v>323537</v>
      </c>
      <c r="H3272" s="32">
        <f>H3271</f>
        <v>323537</v>
      </c>
    </row>
    <row r="3273" spans="1:8" s="2" customFormat="1">
      <c r="A3273" s="5"/>
      <c r="C3273" s="8"/>
      <c r="G3273" s="32"/>
      <c r="H3273" s="32"/>
    </row>
    <row r="3274" spans="1:8" s="2" customFormat="1">
      <c r="A3274" s="6" t="s">
        <v>2575</v>
      </c>
      <c r="B3274" s="2" t="s">
        <v>119</v>
      </c>
      <c r="C3274" s="8"/>
      <c r="G3274" s="32"/>
      <c r="H3274" s="32"/>
    </row>
    <row r="3275" spans="1:8" s="2" customFormat="1">
      <c r="A3275" s="5"/>
      <c r="C3275" s="8"/>
      <c r="G3275" s="32"/>
      <c r="H3275" s="32"/>
    </row>
    <row r="3276" spans="1:8" s="2" customFormat="1">
      <c r="A3276" s="5" t="s">
        <v>1721</v>
      </c>
      <c r="B3276" s="2" t="s">
        <v>120</v>
      </c>
      <c r="C3276" s="15" t="s">
        <v>121</v>
      </c>
      <c r="D3276" s="2">
        <v>190000</v>
      </c>
      <c r="E3276" s="2">
        <v>420200</v>
      </c>
      <c r="F3276" s="2">
        <v>610210</v>
      </c>
      <c r="G3276" s="32">
        <f>58610+1172</f>
        <v>59782</v>
      </c>
      <c r="H3276" s="32">
        <f>58610+1172</f>
        <v>59782</v>
      </c>
    </row>
    <row r="3277" spans="1:8" s="2" customFormat="1">
      <c r="A3277" s="5"/>
      <c r="C3277" s="15" t="s">
        <v>2950</v>
      </c>
      <c r="D3277" s="2">
        <v>190000</v>
      </c>
      <c r="E3277" s="2">
        <v>420200</v>
      </c>
      <c r="F3277" s="2">
        <v>610000</v>
      </c>
      <c r="G3277" s="32">
        <v>3000</v>
      </c>
      <c r="H3277" s="32">
        <v>3000</v>
      </c>
    </row>
    <row r="3278" spans="1:8" s="2" customFormat="1">
      <c r="A3278" s="5"/>
      <c r="C3278" s="15" t="s">
        <v>115</v>
      </c>
      <c r="D3278" s="2">
        <v>190000</v>
      </c>
      <c r="E3278" s="2">
        <v>420200</v>
      </c>
      <c r="F3278" s="2">
        <v>610910</v>
      </c>
      <c r="G3278" s="32">
        <v>400</v>
      </c>
      <c r="H3278" s="32">
        <v>400</v>
      </c>
    </row>
    <row r="3279" spans="1:8" s="2" customFormat="1">
      <c r="A3279" s="5"/>
      <c r="C3279" s="2" t="s">
        <v>2951</v>
      </c>
      <c r="D3279" s="2">
        <v>190000</v>
      </c>
      <c r="E3279" s="2">
        <v>420200</v>
      </c>
      <c r="F3279" s="2">
        <v>630000</v>
      </c>
      <c r="G3279" s="32">
        <f>(G3276+G3277)*0.21</f>
        <v>13184.22</v>
      </c>
      <c r="H3279" s="32">
        <f>(H3276+H3277)*0.21</f>
        <v>13184.22</v>
      </c>
    </row>
    <row r="3280" spans="1:8" s="2" customFormat="1">
      <c r="A3280" s="5"/>
      <c r="C3280" s="8" t="s">
        <v>1129</v>
      </c>
      <c r="G3280" s="32">
        <f>SUM(G3276:G3279)</f>
        <v>76366.22</v>
      </c>
      <c r="H3280" s="32">
        <f>SUM(H3276:H3279)</f>
        <v>76366.22</v>
      </c>
    </row>
    <row r="3281" spans="1:8" s="2" customFormat="1">
      <c r="A3281" s="5"/>
      <c r="C3281" s="2" t="s">
        <v>2234</v>
      </c>
      <c r="D3281" s="2">
        <v>190000</v>
      </c>
      <c r="E3281" s="2">
        <v>420200</v>
      </c>
      <c r="F3281" s="2">
        <v>710000</v>
      </c>
      <c r="G3281" s="32">
        <v>20300</v>
      </c>
      <c r="H3281" s="32">
        <v>20300</v>
      </c>
    </row>
    <row r="3282" spans="1:8" s="2" customFormat="1">
      <c r="A3282" s="5"/>
      <c r="C3282" s="8" t="s">
        <v>2235</v>
      </c>
      <c r="G3282" s="32">
        <f>G3280+G3281</f>
        <v>96666.22</v>
      </c>
      <c r="H3282" s="32">
        <f>H3280+H3281</f>
        <v>96666.22</v>
      </c>
    </row>
    <row r="3283" spans="1:8" s="2" customFormat="1">
      <c r="A3283" s="5"/>
      <c r="C3283" s="8"/>
      <c r="G3283" s="32"/>
      <c r="H3283" s="32"/>
    </row>
    <row r="3284" spans="1:8" s="2" customFormat="1">
      <c r="A3284" s="6" t="s">
        <v>2576</v>
      </c>
      <c r="B3284" s="2" t="s">
        <v>122</v>
      </c>
      <c r="C3284" s="8"/>
      <c r="G3284" s="32"/>
      <c r="H3284" s="32"/>
    </row>
    <row r="3285" spans="1:8" s="2" customFormat="1">
      <c r="A3285" s="5"/>
      <c r="C3285" s="8"/>
      <c r="G3285" s="32"/>
      <c r="H3285" s="32"/>
    </row>
    <row r="3286" spans="1:8" s="2" customFormat="1">
      <c r="A3286" s="5" t="s">
        <v>1722</v>
      </c>
      <c r="B3286" s="2" t="s">
        <v>123</v>
      </c>
      <c r="C3286" s="15" t="s">
        <v>2121</v>
      </c>
      <c r="D3286" s="2">
        <v>190000</v>
      </c>
      <c r="E3286" s="2">
        <v>420300</v>
      </c>
      <c r="F3286" s="2">
        <v>610210</v>
      </c>
      <c r="G3286" s="32">
        <f>26279+789</f>
        <v>27068</v>
      </c>
      <c r="H3286" s="32">
        <f>26279+789</f>
        <v>27068</v>
      </c>
    </row>
    <row r="3287" spans="1:8" s="2" customFormat="1">
      <c r="A3287" s="5" t="s">
        <v>1723</v>
      </c>
      <c r="C3287" s="15" t="s">
        <v>2924</v>
      </c>
      <c r="D3287" s="2">
        <v>190000</v>
      </c>
      <c r="E3287" s="2">
        <v>420300</v>
      </c>
      <c r="F3287" s="2">
        <v>610210</v>
      </c>
      <c r="G3287" s="32">
        <v>20000</v>
      </c>
      <c r="H3287" s="32">
        <v>20000</v>
      </c>
    </row>
    <row r="3288" spans="1:8" s="2" customFormat="1">
      <c r="A3288" s="5"/>
      <c r="C3288" s="15" t="s">
        <v>2950</v>
      </c>
      <c r="D3288" s="2">
        <v>190000</v>
      </c>
      <c r="E3288" s="2">
        <v>420300</v>
      </c>
      <c r="F3288" s="2">
        <v>610000</v>
      </c>
      <c r="G3288" s="32">
        <v>0</v>
      </c>
      <c r="H3288" s="32">
        <v>0</v>
      </c>
    </row>
    <row r="3289" spans="1:8" s="2" customFormat="1">
      <c r="A3289" s="5"/>
      <c r="C3289" s="2" t="s">
        <v>2951</v>
      </c>
      <c r="D3289" s="2">
        <v>190000</v>
      </c>
      <c r="E3289" s="2">
        <v>420300</v>
      </c>
      <c r="F3289" s="2">
        <v>630000</v>
      </c>
      <c r="G3289" s="32">
        <f>(G3286+G3288+G3287)*0.21</f>
        <v>9884.2799999999988</v>
      </c>
      <c r="H3289" s="32">
        <f>(H3286+H3288+H3287)*0.21</f>
        <v>9884.2799999999988</v>
      </c>
    </row>
    <row r="3290" spans="1:8" s="2" customFormat="1">
      <c r="A3290" s="5"/>
      <c r="C3290" s="8" t="s">
        <v>1129</v>
      </c>
      <c r="G3290" s="32">
        <f>SUM(G3286:G3289)</f>
        <v>56952.28</v>
      </c>
      <c r="H3290" s="32">
        <f>SUM(H3286:H3289)</f>
        <v>56952.28</v>
      </c>
    </row>
    <row r="3291" spans="1:8" s="2" customFormat="1">
      <c r="A3291" s="5"/>
      <c r="C3291" s="2" t="s">
        <v>2234</v>
      </c>
      <c r="D3291" s="2">
        <v>190000</v>
      </c>
      <c r="E3291" s="2">
        <v>420300</v>
      </c>
      <c r="F3291" s="2">
        <v>710000</v>
      </c>
      <c r="G3291" s="32">
        <v>20000</v>
      </c>
      <c r="H3291" s="32">
        <v>20000</v>
      </c>
    </row>
    <row r="3292" spans="1:8" s="2" customFormat="1">
      <c r="A3292" s="5"/>
      <c r="C3292" s="8" t="s">
        <v>2235</v>
      </c>
      <c r="G3292" s="32">
        <f>G3290+G3291</f>
        <v>76952.28</v>
      </c>
      <c r="H3292" s="32">
        <f>H3290+H3291</f>
        <v>76952.28</v>
      </c>
    </row>
    <row r="3293" spans="1:8" s="2" customFormat="1">
      <c r="A3293" s="6"/>
      <c r="C3293" s="8"/>
      <c r="G3293" s="32"/>
      <c r="H3293" s="32"/>
    </row>
    <row r="3294" spans="1:8" s="2" customFormat="1">
      <c r="A3294" s="6" t="s">
        <v>2580</v>
      </c>
      <c r="B3294" s="2" t="s">
        <v>2477</v>
      </c>
      <c r="G3294" s="32"/>
      <c r="H3294" s="32"/>
    </row>
    <row r="3295" spans="1:8" s="2" customFormat="1">
      <c r="A3295" s="5"/>
      <c r="G3295" s="32"/>
      <c r="H3295" s="32"/>
    </row>
    <row r="3296" spans="1:8" s="2" customFormat="1">
      <c r="A3296" s="5" t="s">
        <v>1736</v>
      </c>
      <c r="B3296" s="2" t="s">
        <v>2478</v>
      </c>
      <c r="C3296" s="2" t="s">
        <v>3224</v>
      </c>
      <c r="D3296" s="2">
        <v>190000</v>
      </c>
      <c r="E3296" s="2">
        <v>420410</v>
      </c>
      <c r="F3296" s="2">
        <v>610610</v>
      </c>
      <c r="G3296" s="32">
        <f>29737+594</f>
        <v>30331</v>
      </c>
      <c r="H3296" s="32">
        <f>29737+594</f>
        <v>30331</v>
      </c>
    </row>
    <row r="3297" spans="1:8" s="2" customFormat="1">
      <c r="A3297" s="5" t="s">
        <v>1737</v>
      </c>
      <c r="B3297" s="2" t="s">
        <v>2479</v>
      </c>
      <c r="C3297" s="2" t="s">
        <v>2111</v>
      </c>
      <c r="D3297" s="2">
        <v>190000</v>
      </c>
      <c r="E3297" s="2">
        <v>420410</v>
      </c>
      <c r="F3297" s="2">
        <v>610610</v>
      </c>
      <c r="G3297" s="32">
        <f>18781+376</f>
        <v>19157</v>
      </c>
      <c r="H3297" s="32">
        <f>18781+376</f>
        <v>19157</v>
      </c>
    </row>
    <row r="3298" spans="1:8" s="2" customFormat="1">
      <c r="A3298" s="5"/>
      <c r="C3298" s="2" t="s">
        <v>2951</v>
      </c>
      <c r="D3298" s="2">
        <v>190000</v>
      </c>
      <c r="E3298" s="2">
        <v>420410</v>
      </c>
      <c r="F3298" s="2">
        <v>630000</v>
      </c>
      <c r="G3298" s="32">
        <f>(G3296+G3297)*0.21</f>
        <v>10392.48</v>
      </c>
      <c r="H3298" s="32">
        <f>(H3296+H3297)*0.21</f>
        <v>10392.48</v>
      </c>
    </row>
    <row r="3299" spans="1:8" s="2" customFormat="1">
      <c r="A3299" s="5"/>
      <c r="C3299" s="8" t="s">
        <v>1129</v>
      </c>
      <c r="G3299" s="32">
        <f>SUM(G3296:G3298)</f>
        <v>59880.479999999996</v>
      </c>
      <c r="H3299" s="32">
        <f>SUM(H3296:H3298)</f>
        <v>59880.479999999996</v>
      </c>
    </row>
    <row r="3300" spans="1:8" s="2" customFormat="1">
      <c r="A3300" s="5"/>
      <c r="C3300" s="2" t="s">
        <v>2480</v>
      </c>
      <c r="D3300" s="2">
        <v>190000</v>
      </c>
      <c r="E3300" s="2">
        <v>420410</v>
      </c>
      <c r="F3300" s="2">
        <v>610910</v>
      </c>
      <c r="G3300" s="32"/>
      <c r="H3300" s="32"/>
    </row>
    <row r="3301" spans="1:8" s="2" customFormat="1">
      <c r="A3301" s="5"/>
      <c r="C3301" s="2" t="s">
        <v>2234</v>
      </c>
      <c r="D3301" s="2">
        <v>190000</v>
      </c>
      <c r="E3301" s="2">
        <v>420410</v>
      </c>
      <c r="F3301" s="2">
        <v>710000</v>
      </c>
      <c r="G3301" s="32">
        <v>69334</v>
      </c>
      <c r="H3301" s="32">
        <v>69334</v>
      </c>
    </row>
    <row r="3302" spans="1:8" s="2" customFormat="1">
      <c r="A3302" s="5"/>
      <c r="C3302" s="2" t="s">
        <v>3222</v>
      </c>
      <c r="D3302" s="2">
        <v>190000</v>
      </c>
      <c r="E3302" s="2">
        <v>420410</v>
      </c>
      <c r="F3302" s="2">
        <v>710000</v>
      </c>
      <c r="G3302" s="32">
        <v>90965</v>
      </c>
      <c r="H3302" s="32">
        <v>90965</v>
      </c>
    </row>
    <row r="3303" spans="1:8" s="2" customFormat="1">
      <c r="A3303" s="5"/>
      <c r="C3303" s="8" t="s">
        <v>2235</v>
      </c>
      <c r="G3303" s="32">
        <f>SUM(G3299:G3302)</f>
        <v>220179.47999999998</v>
      </c>
      <c r="H3303" s="32">
        <f>SUM(H3299:H3302)</f>
        <v>220179.47999999998</v>
      </c>
    </row>
    <row r="3304" spans="1:8" s="2" customFormat="1">
      <c r="A3304" s="5"/>
      <c r="G3304" s="32"/>
      <c r="H3304" s="32"/>
    </row>
    <row r="3305" spans="1:8" s="2" customFormat="1">
      <c r="A3305" s="6" t="s">
        <v>2574</v>
      </c>
      <c r="B3305" s="2" t="s">
        <v>118</v>
      </c>
      <c r="C3305" s="8"/>
      <c r="G3305" s="32"/>
      <c r="H3305" s="32"/>
    </row>
    <row r="3306" spans="1:8" s="2" customFormat="1">
      <c r="A3306" s="6"/>
      <c r="C3306" s="8"/>
      <c r="G3306" s="32"/>
      <c r="H3306" s="32"/>
    </row>
    <row r="3307" spans="1:8" s="2" customFormat="1">
      <c r="A3307" s="6"/>
      <c r="C3307" s="2" t="s">
        <v>2234</v>
      </c>
      <c r="D3307" s="2">
        <v>190000</v>
      </c>
      <c r="E3307" s="2">
        <v>420420</v>
      </c>
      <c r="F3307" s="2">
        <v>710000</v>
      </c>
      <c r="G3307" s="32">
        <v>0</v>
      </c>
      <c r="H3307" s="32">
        <v>0</v>
      </c>
    </row>
    <row r="3308" spans="1:8" s="2" customFormat="1">
      <c r="A3308" s="6"/>
      <c r="C3308" s="8" t="s">
        <v>2235</v>
      </c>
      <c r="G3308" s="32">
        <f>SUM(G3307)</f>
        <v>0</v>
      </c>
      <c r="H3308" s="32">
        <f>SUM(H3307)</f>
        <v>0</v>
      </c>
    </row>
    <row r="3309" spans="1:8" s="2" customFormat="1">
      <c r="A3309" s="6"/>
      <c r="C3309" s="8"/>
      <c r="G3309" s="32"/>
      <c r="H3309" s="32"/>
    </row>
    <row r="3310" spans="1:8" s="2" customFormat="1">
      <c r="A3310" s="6" t="s">
        <v>2574</v>
      </c>
      <c r="B3310" s="2" t="s">
        <v>2123</v>
      </c>
      <c r="G3310" s="32"/>
      <c r="H3310" s="32"/>
    </row>
    <row r="3311" spans="1:8" s="2" customFormat="1">
      <c r="A3311" s="5"/>
      <c r="G3311" s="32"/>
      <c r="H3311" s="32"/>
    </row>
    <row r="3312" spans="1:8" s="2" customFormat="1">
      <c r="A3312" s="5" t="s">
        <v>1724</v>
      </c>
      <c r="B3312" s="2" t="s">
        <v>1590</v>
      </c>
      <c r="C3312" s="2" t="s">
        <v>3218</v>
      </c>
      <c r="D3312" s="2">
        <v>190000</v>
      </c>
      <c r="E3312" s="2">
        <v>420420</v>
      </c>
      <c r="F3312" s="2">
        <v>610610</v>
      </c>
      <c r="G3312" s="32">
        <v>97000</v>
      </c>
      <c r="H3312" s="32">
        <v>97000</v>
      </c>
    </row>
    <row r="3313" spans="1:8" s="2" customFormat="1">
      <c r="A3313" s="5" t="s">
        <v>1725</v>
      </c>
      <c r="B3313" s="2" t="s">
        <v>3219</v>
      </c>
      <c r="C3313" s="2" t="s">
        <v>2111</v>
      </c>
      <c r="D3313" s="2">
        <v>190000</v>
      </c>
      <c r="E3313" s="2">
        <v>420420</v>
      </c>
      <c r="F3313" s="2">
        <v>610610</v>
      </c>
      <c r="G3313" s="32">
        <f>42570+1278</f>
        <v>43848</v>
      </c>
      <c r="H3313" s="32">
        <f>42570+1278</f>
        <v>43848</v>
      </c>
    </row>
    <row r="3314" spans="1:8" s="2" customFormat="1">
      <c r="A3314" s="5" t="s">
        <v>1726</v>
      </c>
      <c r="B3314" s="2" t="s">
        <v>3220</v>
      </c>
      <c r="C3314" s="2" t="s">
        <v>2111</v>
      </c>
      <c r="D3314" s="2">
        <v>190000</v>
      </c>
      <c r="E3314" s="2">
        <v>420420</v>
      </c>
      <c r="F3314" s="2">
        <v>610610</v>
      </c>
      <c r="G3314" s="32">
        <f>26085+522</f>
        <v>26607</v>
      </c>
      <c r="H3314" s="32">
        <f>26085+522</f>
        <v>26607</v>
      </c>
    </row>
    <row r="3315" spans="1:8" s="2" customFormat="1">
      <c r="A3315" s="5" t="s">
        <v>1727</v>
      </c>
      <c r="B3315" s="2" t="s">
        <v>2925</v>
      </c>
      <c r="C3315" s="2" t="s">
        <v>2111</v>
      </c>
      <c r="D3315" s="2">
        <v>190000</v>
      </c>
      <c r="E3315" s="2">
        <v>420420</v>
      </c>
      <c r="F3315" s="2">
        <v>610610</v>
      </c>
      <c r="G3315" s="32">
        <f>39000+1170</f>
        <v>40170</v>
      </c>
      <c r="H3315" s="32">
        <f>39000+1170</f>
        <v>40170</v>
      </c>
    </row>
    <row r="3316" spans="1:8" s="2" customFormat="1">
      <c r="A3316" s="5" t="s">
        <v>1728</v>
      </c>
      <c r="B3316" s="2" t="s">
        <v>2102</v>
      </c>
      <c r="C3316" s="2" t="s">
        <v>1023</v>
      </c>
      <c r="D3316" s="2">
        <v>190000</v>
      </c>
      <c r="E3316" s="2">
        <v>420420</v>
      </c>
      <c r="F3316" s="2">
        <v>610410</v>
      </c>
      <c r="G3316" s="32">
        <f>21974+615</f>
        <v>22589</v>
      </c>
      <c r="H3316" s="32">
        <f>21974+615</f>
        <v>22589</v>
      </c>
    </row>
    <row r="3317" spans="1:8" s="2" customFormat="1">
      <c r="A3317" s="5" t="s">
        <v>2103</v>
      </c>
      <c r="C3317" s="2" t="s">
        <v>2950</v>
      </c>
      <c r="D3317" s="2">
        <v>190000</v>
      </c>
      <c r="E3317" s="2">
        <v>420420</v>
      </c>
      <c r="F3317" s="2">
        <v>610000</v>
      </c>
      <c r="G3317" s="32"/>
      <c r="H3317" s="32"/>
    </row>
    <row r="3318" spans="1:8" s="2" customFormat="1">
      <c r="A3318" s="6" t="s">
        <v>2104</v>
      </c>
      <c r="C3318" s="2" t="s">
        <v>3221</v>
      </c>
      <c r="D3318" s="2">
        <v>190000</v>
      </c>
      <c r="E3318" s="2">
        <v>420420</v>
      </c>
      <c r="F3318" s="2">
        <v>620000</v>
      </c>
      <c r="G3318" s="32">
        <v>4000</v>
      </c>
      <c r="H3318" s="32">
        <v>4000</v>
      </c>
    </row>
    <row r="3319" spans="1:8" s="2" customFormat="1">
      <c r="A3319" s="6"/>
      <c r="C3319" s="2" t="s">
        <v>115</v>
      </c>
      <c r="D3319" s="2">
        <v>190000</v>
      </c>
      <c r="E3319" s="2">
        <v>420420</v>
      </c>
      <c r="F3319" s="2">
        <v>610110</v>
      </c>
      <c r="G3319" s="32">
        <v>300</v>
      </c>
      <c r="H3319" s="32">
        <v>300</v>
      </c>
    </row>
    <row r="3320" spans="1:8" s="2" customFormat="1">
      <c r="A3320" s="5"/>
      <c r="C3320" s="2" t="s">
        <v>2951</v>
      </c>
      <c r="D3320" s="2">
        <v>190000</v>
      </c>
      <c r="E3320" s="2">
        <v>420420</v>
      </c>
      <c r="F3320" s="2">
        <v>630000</v>
      </c>
      <c r="G3320" s="32">
        <f>SUM(G3312:G3317)*0.21+G3318*0.08</f>
        <v>48664.939999999995</v>
      </c>
      <c r="H3320" s="32">
        <f>SUM(H3312:H3317)*0.21+H3318*0.08</f>
        <v>48664.939999999995</v>
      </c>
    </row>
    <row r="3321" spans="1:8" s="2" customFormat="1">
      <c r="A3321" s="5"/>
      <c r="C3321" s="8" t="s">
        <v>1129</v>
      </c>
      <c r="G3321" s="32">
        <f>SUM(G3312:G3320)</f>
        <v>283178.94</v>
      </c>
      <c r="H3321" s="32">
        <f>SUM(H3312:H3320)</f>
        <v>283178.94</v>
      </c>
    </row>
    <row r="3322" spans="1:8" s="2" customFormat="1">
      <c r="A3322" s="5"/>
      <c r="C3322" s="2" t="s">
        <v>2234</v>
      </c>
      <c r="D3322" s="2">
        <v>190000</v>
      </c>
      <c r="E3322" s="2">
        <v>420420</v>
      </c>
      <c r="F3322" s="2">
        <v>710000</v>
      </c>
      <c r="G3322" s="32">
        <v>192717</v>
      </c>
      <c r="H3322" s="32">
        <v>192717</v>
      </c>
    </row>
    <row r="3323" spans="1:8" s="2" customFormat="1">
      <c r="A3323" s="5"/>
      <c r="C3323" s="2" t="s">
        <v>3222</v>
      </c>
      <c r="D3323" s="2">
        <v>190000</v>
      </c>
      <c r="E3323" s="2">
        <v>420420</v>
      </c>
      <c r="F3323" s="2">
        <v>710000</v>
      </c>
      <c r="G3323" s="32">
        <v>135965</v>
      </c>
      <c r="H3323" s="32">
        <v>135965</v>
      </c>
    </row>
    <row r="3324" spans="1:8" s="2" customFormat="1">
      <c r="A3324" s="5"/>
      <c r="C3324" s="8" t="s">
        <v>2235</v>
      </c>
      <c r="G3324" s="32">
        <f>SUM(G3321:G3323)</f>
        <v>611860.93999999994</v>
      </c>
      <c r="H3324" s="32">
        <f>SUM(H3321:H3323)</f>
        <v>611860.93999999994</v>
      </c>
    </row>
    <row r="3325" spans="1:8" s="2" customFormat="1">
      <c r="A3325" s="5"/>
      <c r="G3325" s="32"/>
      <c r="H3325" s="32"/>
    </row>
    <row r="3326" spans="1:8" s="2" customFormat="1">
      <c r="A3326" s="6" t="s">
        <v>2585</v>
      </c>
      <c r="B3326" s="2" t="s">
        <v>1547</v>
      </c>
      <c r="G3326" s="32"/>
      <c r="H3326" s="32"/>
    </row>
    <row r="3327" spans="1:8" s="2" customFormat="1">
      <c r="A3327" s="5"/>
      <c r="G3327" s="32"/>
      <c r="H3327" s="32"/>
    </row>
    <row r="3328" spans="1:8" s="2" customFormat="1">
      <c r="A3328" s="5" t="s">
        <v>1740</v>
      </c>
      <c r="B3328" s="2" t="s">
        <v>1545</v>
      </c>
      <c r="C3328" s="2" t="s">
        <v>3224</v>
      </c>
      <c r="D3328" s="2">
        <v>190000</v>
      </c>
      <c r="E3328" s="2">
        <v>420430</v>
      </c>
      <c r="F3328" s="2">
        <v>610610</v>
      </c>
      <c r="G3328" s="32">
        <f>7716+155</f>
        <v>7871</v>
      </c>
      <c r="H3328" s="32">
        <f>7716+155</f>
        <v>7871</v>
      </c>
    </row>
    <row r="3329" spans="1:8" s="2" customFormat="1">
      <c r="A3329" s="5"/>
      <c r="D3329" s="2">
        <v>190000</v>
      </c>
      <c r="E3329" s="2">
        <v>420620</v>
      </c>
      <c r="F3329" s="2">
        <v>610610</v>
      </c>
      <c r="G3329" s="32">
        <f>7716+155</f>
        <v>7871</v>
      </c>
      <c r="H3329" s="32"/>
    </row>
    <row r="3330" spans="1:8" s="2" customFormat="1">
      <c r="A3330" s="5"/>
      <c r="D3330" s="2">
        <v>190000</v>
      </c>
      <c r="E3330" s="2">
        <v>420460</v>
      </c>
      <c r="F3330" s="2">
        <v>610610</v>
      </c>
      <c r="G3330" s="32">
        <f>7716+155</f>
        <v>7871</v>
      </c>
      <c r="H3330" s="32"/>
    </row>
    <row r="3331" spans="1:8" s="2" customFormat="1">
      <c r="A3331" s="5"/>
      <c r="D3331" s="2">
        <v>190000</v>
      </c>
      <c r="E3331" s="2">
        <v>420670</v>
      </c>
      <c r="F3331" s="2">
        <v>610610</v>
      </c>
      <c r="G3331" s="32">
        <f>7716+155</f>
        <v>7871</v>
      </c>
      <c r="H3331" s="32"/>
    </row>
    <row r="3332" spans="1:8" s="2" customFormat="1">
      <c r="A3332" s="5"/>
      <c r="E3332" s="2" t="s">
        <v>2880</v>
      </c>
      <c r="G3332" s="32">
        <f>SUM(G3328:G3331)</f>
        <v>31484</v>
      </c>
      <c r="H3332" s="32">
        <f>SUM(H3328:H3331)</f>
        <v>7871</v>
      </c>
    </row>
    <row r="3333" spans="1:8" s="2" customFormat="1">
      <c r="A3333" s="5" t="s">
        <v>1548</v>
      </c>
      <c r="C3333" s="2" t="s">
        <v>2950</v>
      </c>
      <c r="D3333" s="2">
        <v>190000</v>
      </c>
      <c r="E3333" s="2">
        <v>420430</v>
      </c>
      <c r="F3333" s="2">
        <v>610000</v>
      </c>
      <c r="G3333" s="32"/>
      <c r="H3333" s="32"/>
    </row>
    <row r="3334" spans="1:8" s="2" customFormat="1">
      <c r="A3334" s="5"/>
      <c r="C3334" s="2" t="s">
        <v>2951</v>
      </c>
      <c r="D3334" s="2">
        <v>190000</v>
      </c>
      <c r="E3334" s="2">
        <v>420430</v>
      </c>
      <c r="F3334" s="2">
        <v>630000</v>
      </c>
      <c r="G3334" s="32">
        <f>(SUM(G3328:G3333)-G3332)*0.21</f>
        <v>6611.6399999999994</v>
      </c>
      <c r="H3334" s="32">
        <f>(SUM(H3328:H3333)-H3332)*0.21</f>
        <v>1652.9099999999999</v>
      </c>
    </row>
    <row r="3335" spans="1:8" s="2" customFormat="1">
      <c r="A3335" s="5"/>
      <c r="C3335" s="8" t="s">
        <v>1129</v>
      </c>
      <c r="G3335" s="32">
        <f>SUM(G3328:G3334)-G3332</f>
        <v>38095.64</v>
      </c>
      <c r="H3335" s="32">
        <f>SUM(H3328:H3334)-H3332</f>
        <v>9523.91</v>
      </c>
    </row>
    <row r="3336" spans="1:8" s="2" customFormat="1">
      <c r="A3336" s="5"/>
      <c r="C3336" s="2" t="s">
        <v>2234</v>
      </c>
      <c r="D3336" s="2">
        <v>190000</v>
      </c>
      <c r="E3336" s="2">
        <v>420430</v>
      </c>
      <c r="F3336" s="2">
        <v>710000</v>
      </c>
      <c r="G3336" s="32">
        <v>8383</v>
      </c>
      <c r="H3336" s="32">
        <v>8383</v>
      </c>
    </row>
    <row r="3337" spans="1:8" s="2" customFormat="1">
      <c r="A3337" s="5"/>
      <c r="C3337" s="2" t="s">
        <v>3222</v>
      </c>
      <c r="D3337" s="2">
        <v>190000</v>
      </c>
      <c r="E3337" s="2">
        <v>420430</v>
      </c>
      <c r="F3337" s="2">
        <v>710000</v>
      </c>
      <c r="G3337" s="32">
        <v>91405</v>
      </c>
      <c r="H3337" s="32">
        <v>91405</v>
      </c>
    </row>
    <row r="3338" spans="1:8" s="2" customFormat="1">
      <c r="A3338" s="5"/>
      <c r="C3338" s="8" t="s">
        <v>2235</v>
      </c>
      <c r="G3338" s="32">
        <f>SUM(G3335:G3337)</f>
        <v>137883.64000000001</v>
      </c>
      <c r="H3338" s="32">
        <f>SUM(H3335:H3337)</f>
        <v>109311.91</v>
      </c>
    </row>
    <row r="3339" spans="1:8" s="2" customFormat="1">
      <c r="A3339" s="5"/>
      <c r="G3339" s="32"/>
      <c r="H3339" s="32"/>
    </row>
    <row r="3340" spans="1:8" s="2" customFormat="1">
      <c r="A3340" s="6" t="s">
        <v>2586</v>
      </c>
      <c r="B3340" s="2" t="s">
        <v>1549</v>
      </c>
      <c r="G3340" s="32"/>
      <c r="H3340" s="32"/>
    </row>
    <row r="3341" spans="1:8" s="2" customFormat="1">
      <c r="A3341" s="5"/>
      <c r="G3341" s="32"/>
      <c r="H3341" s="32"/>
    </row>
    <row r="3342" spans="1:8" s="2" customFormat="1">
      <c r="A3342" s="5" t="s">
        <v>1741</v>
      </c>
      <c r="B3342" s="2" t="s">
        <v>1550</v>
      </c>
      <c r="C3342" s="2" t="s">
        <v>3224</v>
      </c>
      <c r="D3342" s="2">
        <v>190000</v>
      </c>
      <c r="E3342" s="2">
        <v>420440</v>
      </c>
      <c r="F3342" s="2">
        <v>610610</v>
      </c>
      <c r="G3342" s="32">
        <f>12662+1130</f>
        <v>13792</v>
      </c>
      <c r="H3342" s="32">
        <f>12662+1130</f>
        <v>13792</v>
      </c>
    </row>
    <row r="3343" spans="1:8" s="2" customFormat="1">
      <c r="A3343" s="5"/>
      <c r="D3343" s="2">
        <v>190000</v>
      </c>
      <c r="E3343" s="2">
        <v>420630</v>
      </c>
      <c r="F3343" s="2">
        <v>610610</v>
      </c>
      <c r="G3343" s="32">
        <f>12662+1130</f>
        <v>13792</v>
      </c>
      <c r="H3343" s="32">
        <v>0</v>
      </c>
    </row>
    <row r="3344" spans="1:8" s="2" customFormat="1">
      <c r="A3344" s="5"/>
      <c r="E3344" s="2" t="s">
        <v>2880</v>
      </c>
      <c r="G3344" s="32">
        <f>G3342+G3343</f>
        <v>27584</v>
      </c>
      <c r="H3344" s="32">
        <f>H3342+H3343</f>
        <v>13792</v>
      </c>
    </row>
    <row r="3345" spans="1:8" s="2" customFormat="1">
      <c r="A3345" s="5" t="s">
        <v>1551</v>
      </c>
      <c r="C3345" s="2" t="s">
        <v>2950</v>
      </c>
      <c r="D3345" s="2">
        <v>190000</v>
      </c>
      <c r="E3345" s="2">
        <v>420440</v>
      </c>
      <c r="F3345" s="2">
        <v>610000</v>
      </c>
      <c r="G3345" s="32"/>
      <c r="H3345" s="32"/>
    </row>
    <row r="3346" spans="1:8" s="2" customFormat="1">
      <c r="A3346" s="5"/>
      <c r="C3346" s="2" t="s">
        <v>2951</v>
      </c>
      <c r="D3346" s="2">
        <v>190000</v>
      </c>
      <c r="E3346" s="2">
        <v>420440</v>
      </c>
      <c r="F3346" s="2">
        <v>630000</v>
      </c>
      <c r="G3346" s="32">
        <f>(SUM(G3342:G3345)-G3344)*0.21</f>
        <v>5792.6399999999994</v>
      </c>
      <c r="H3346" s="32">
        <f>(SUM(H3342:H3345)-H3344)*0.21</f>
        <v>2896.3199999999997</v>
      </c>
    </row>
    <row r="3347" spans="1:8" s="2" customFormat="1">
      <c r="A3347" s="5"/>
      <c r="C3347" s="8" t="s">
        <v>1129</v>
      </c>
      <c r="G3347" s="32">
        <f>SUM(G3342:G3346)-G3344</f>
        <v>33376.639999999999</v>
      </c>
      <c r="H3347" s="32">
        <f>SUM(H3342:H3346)-H3344</f>
        <v>16688.32</v>
      </c>
    </row>
    <row r="3348" spans="1:8" s="2" customFormat="1">
      <c r="A3348" s="5"/>
      <c r="C3348" s="2" t="s">
        <v>2234</v>
      </c>
      <c r="D3348" s="2">
        <v>190000</v>
      </c>
      <c r="E3348" s="2">
        <v>420440</v>
      </c>
      <c r="F3348" s="2">
        <v>710000</v>
      </c>
      <c r="G3348" s="32">
        <v>24559</v>
      </c>
      <c r="H3348" s="32">
        <v>24559</v>
      </c>
    </row>
    <row r="3349" spans="1:8" s="2" customFormat="1">
      <c r="A3349" s="5"/>
      <c r="C3349" s="2" t="s">
        <v>3222</v>
      </c>
      <c r="D3349" s="2">
        <v>190000</v>
      </c>
      <c r="E3349" s="2">
        <v>420440</v>
      </c>
      <c r="F3349" s="2">
        <v>710000</v>
      </c>
      <c r="G3349" s="32">
        <v>35445</v>
      </c>
      <c r="H3349" s="32">
        <v>35445</v>
      </c>
    </row>
    <row r="3350" spans="1:8" s="2" customFormat="1">
      <c r="A3350" s="5"/>
      <c r="C3350" s="8" t="s">
        <v>2235</v>
      </c>
      <c r="G3350" s="32">
        <f>SUM(G3347:G3349)</f>
        <v>93380.64</v>
      </c>
      <c r="H3350" s="32">
        <f>SUM(H3347:H3349)</f>
        <v>76692.320000000007</v>
      </c>
    </row>
    <row r="3351" spans="1:8" s="2" customFormat="1">
      <c r="A3351" s="5"/>
      <c r="G3351" s="32"/>
      <c r="H3351" s="32"/>
    </row>
    <row r="3352" spans="1:8" s="2" customFormat="1">
      <c r="A3352" s="6" t="s">
        <v>2581</v>
      </c>
      <c r="B3352" s="2" t="s">
        <v>2481</v>
      </c>
      <c r="G3352" s="32"/>
      <c r="H3352" s="32"/>
    </row>
    <row r="3353" spans="1:8" s="2" customFormat="1">
      <c r="A3353" s="5"/>
      <c r="G3353" s="32"/>
      <c r="H3353" s="32"/>
    </row>
    <row r="3354" spans="1:8" s="2" customFormat="1">
      <c r="A3354" s="5" t="s">
        <v>1738</v>
      </c>
      <c r="B3354" s="2" t="s">
        <v>2482</v>
      </c>
      <c r="C3354" s="2" t="s">
        <v>3224</v>
      </c>
      <c r="D3354" s="2">
        <v>190000</v>
      </c>
      <c r="E3354" s="2">
        <v>420450</v>
      </c>
      <c r="F3354" s="2">
        <v>610610</v>
      </c>
      <c r="G3354" s="32">
        <f>13042+1130</f>
        <v>14172</v>
      </c>
      <c r="H3354" s="32">
        <f>13042+1130</f>
        <v>14172</v>
      </c>
    </row>
    <row r="3355" spans="1:8" s="2" customFormat="1">
      <c r="A3355" s="5"/>
      <c r="D3355" s="2">
        <v>190000</v>
      </c>
      <c r="E3355" s="2">
        <v>420660</v>
      </c>
      <c r="F3355" s="2">
        <v>610610</v>
      </c>
      <c r="G3355" s="32">
        <f>13042+1130</f>
        <v>14172</v>
      </c>
      <c r="H3355" s="32">
        <v>0</v>
      </c>
    </row>
    <row r="3356" spans="1:8" s="2" customFormat="1">
      <c r="A3356" s="5"/>
      <c r="E3356" s="2" t="s">
        <v>2880</v>
      </c>
      <c r="G3356" s="32">
        <f>G3354+G3355</f>
        <v>28344</v>
      </c>
      <c r="H3356" s="32">
        <f>H3354+H3355</f>
        <v>14172</v>
      </c>
    </row>
    <row r="3357" spans="1:8" s="2" customFormat="1">
      <c r="A3357" s="5" t="s">
        <v>2483</v>
      </c>
      <c r="C3357" s="2" t="s">
        <v>2950</v>
      </c>
      <c r="D3357" s="2">
        <v>190000</v>
      </c>
      <c r="E3357" s="2">
        <v>420450</v>
      </c>
      <c r="F3357" s="2">
        <v>610000</v>
      </c>
      <c r="G3357" s="32"/>
      <c r="H3357" s="32"/>
    </row>
    <row r="3358" spans="1:8" s="2" customFormat="1">
      <c r="A3358" s="5"/>
      <c r="C3358" s="2" t="s">
        <v>2951</v>
      </c>
      <c r="D3358" s="2">
        <v>190000</v>
      </c>
      <c r="E3358" s="2">
        <v>420450</v>
      </c>
      <c r="F3358" s="2">
        <v>630000</v>
      </c>
      <c r="G3358" s="32">
        <f>(SUM(G3354:G3357)-G3356)*0.21</f>
        <v>5952.24</v>
      </c>
      <c r="H3358" s="32">
        <f>(SUM(H3354:H3357)-H3356)*0.21</f>
        <v>2976.12</v>
      </c>
    </row>
    <row r="3359" spans="1:8" s="2" customFormat="1">
      <c r="A3359" s="5"/>
      <c r="C3359" s="8" t="s">
        <v>1129</v>
      </c>
      <c r="G3359" s="32">
        <f>SUM(G3354:G3358)-G3356</f>
        <v>34296.239999999998</v>
      </c>
      <c r="H3359" s="32">
        <f>SUM(H3354:H3358)-H3356</f>
        <v>17148.12</v>
      </c>
    </row>
    <row r="3360" spans="1:8" s="2" customFormat="1">
      <c r="A3360" s="5"/>
      <c r="C3360" s="2" t="s">
        <v>2234</v>
      </c>
      <c r="D3360" s="2">
        <v>190000</v>
      </c>
      <c r="E3360" s="2">
        <v>420450</v>
      </c>
      <c r="F3360" s="2">
        <v>710000</v>
      </c>
      <c r="G3360" s="32">
        <v>18978</v>
      </c>
      <c r="H3360" s="32">
        <v>18978</v>
      </c>
    </row>
    <row r="3361" spans="1:8" s="2" customFormat="1">
      <c r="A3361" s="5"/>
      <c r="C3361" s="2" t="s">
        <v>3222</v>
      </c>
      <c r="D3361" s="2">
        <v>190000</v>
      </c>
      <c r="E3361" s="2">
        <v>420450</v>
      </c>
      <c r="F3361" s="2">
        <v>710000</v>
      </c>
      <c r="G3361" s="32">
        <v>39190</v>
      </c>
      <c r="H3361" s="32">
        <v>39190</v>
      </c>
    </row>
    <row r="3362" spans="1:8" s="2" customFormat="1">
      <c r="A3362" s="5"/>
      <c r="C3362" s="8" t="s">
        <v>2235</v>
      </c>
      <c r="G3362" s="32">
        <f>SUM(G3359:G3361)</f>
        <v>92464.239999999991</v>
      </c>
      <c r="H3362" s="32">
        <f>SUM(H3359:H3361)</f>
        <v>75316.12</v>
      </c>
    </row>
    <row r="3363" spans="1:8" s="2" customFormat="1">
      <c r="A3363" s="5"/>
      <c r="G3363" s="32"/>
      <c r="H3363" s="32"/>
    </row>
    <row r="3364" spans="1:8" s="2" customFormat="1">
      <c r="A3364" s="6" t="s">
        <v>2588</v>
      </c>
      <c r="B3364" s="2" t="s">
        <v>1410</v>
      </c>
      <c r="G3364" s="32"/>
      <c r="H3364" s="32"/>
    </row>
    <row r="3365" spans="1:8" s="2" customFormat="1">
      <c r="A3365" s="20"/>
      <c r="G3365" s="32"/>
      <c r="H3365" s="32"/>
    </row>
    <row r="3366" spans="1:8" s="2" customFormat="1">
      <c r="A3366" s="5" t="s">
        <v>1740</v>
      </c>
      <c r="B3366" s="2" t="s">
        <v>1545</v>
      </c>
      <c r="C3366" s="2" t="s">
        <v>3224</v>
      </c>
      <c r="D3366" s="2">
        <v>190000</v>
      </c>
      <c r="E3366" s="2">
        <v>420460</v>
      </c>
      <c r="F3366" s="2">
        <v>610610</v>
      </c>
      <c r="G3366" s="32">
        <f>7716+155</f>
        <v>7871</v>
      </c>
      <c r="H3366" s="32">
        <f>7716+155</f>
        <v>7871</v>
      </c>
    </row>
    <row r="3367" spans="1:8" s="2" customFormat="1">
      <c r="A3367" s="5"/>
      <c r="D3367" s="2">
        <v>190000</v>
      </c>
      <c r="E3367" s="2">
        <v>420620</v>
      </c>
      <c r="F3367" s="2">
        <v>610610</v>
      </c>
      <c r="G3367" s="32">
        <f>7716+155</f>
        <v>7871</v>
      </c>
      <c r="H3367" s="32"/>
    </row>
    <row r="3368" spans="1:8" s="2" customFormat="1">
      <c r="A3368" s="5"/>
      <c r="D3368" s="2">
        <v>190000</v>
      </c>
      <c r="E3368" s="2">
        <v>420670</v>
      </c>
      <c r="F3368" s="2">
        <v>610610</v>
      </c>
      <c r="G3368" s="32">
        <f>7716+155</f>
        <v>7871</v>
      </c>
      <c r="H3368" s="32"/>
    </row>
    <row r="3369" spans="1:8" s="2" customFormat="1">
      <c r="A3369" s="5"/>
      <c r="D3369" s="2">
        <v>190000</v>
      </c>
      <c r="E3369" s="2">
        <v>420430</v>
      </c>
      <c r="F3369" s="2">
        <v>610610</v>
      </c>
      <c r="G3369" s="32">
        <f>7716+155</f>
        <v>7871</v>
      </c>
      <c r="H3369" s="32"/>
    </row>
    <row r="3370" spans="1:8" s="2" customFormat="1">
      <c r="A3370" s="5"/>
      <c r="E3370" s="2" t="s">
        <v>2880</v>
      </c>
      <c r="G3370" s="32">
        <f>SUM(G3366:G3369)</f>
        <v>31484</v>
      </c>
      <c r="H3370" s="32">
        <f>SUM(H3366:H3369)</f>
        <v>7871</v>
      </c>
    </row>
    <row r="3371" spans="1:8" s="2" customFormat="1">
      <c r="A3371" s="6" t="s">
        <v>1742</v>
      </c>
      <c r="B3371" s="2" t="s">
        <v>2842</v>
      </c>
      <c r="C3371" s="2" t="s">
        <v>2111</v>
      </c>
      <c r="D3371" s="2">
        <v>190000</v>
      </c>
      <c r="E3371" s="2">
        <v>420460</v>
      </c>
      <c r="F3371" s="2">
        <v>610610</v>
      </c>
      <c r="G3371" s="32">
        <f>10000+200</f>
        <v>10200</v>
      </c>
      <c r="H3371" s="32">
        <f>10000+200</f>
        <v>10200</v>
      </c>
    </row>
    <row r="3372" spans="1:8" s="2" customFormat="1">
      <c r="A3372" s="5"/>
      <c r="D3372" s="2">
        <v>190000</v>
      </c>
      <c r="E3372" s="2">
        <v>420670</v>
      </c>
      <c r="F3372" s="2">
        <v>610610</v>
      </c>
      <c r="G3372" s="32">
        <f>10000+200</f>
        <v>10200</v>
      </c>
      <c r="H3372" s="32"/>
    </row>
    <row r="3373" spans="1:8" s="2" customFormat="1">
      <c r="A3373" s="5"/>
      <c r="E3373" s="2" t="s">
        <v>2880</v>
      </c>
      <c r="G3373" s="32">
        <f>SUM(G3371:G3372)</f>
        <v>20400</v>
      </c>
      <c r="H3373" s="32">
        <f>SUM(H3371:H3372)</f>
        <v>10200</v>
      </c>
    </row>
    <row r="3374" spans="1:8" s="2" customFormat="1">
      <c r="A3374" s="5" t="s">
        <v>1411</v>
      </c>
      <c r="C3374" s="2" t="s">
        <v>2950</v>
      </c>
      <c r="D3374" s="2">
        <v>190000</v>
      </c>
      <c r="E3374" s="2">
        <v>420460</v>
      </c>
      <c r="F3374" s="2">
        <v>610000</v>
      </c>
      <c r="G3374" s="32"/>
      <c r="H3374" s="32"/>
    </row>
    <row r="3375" spans="1:8" s="2" customFormat="1">
      <c r="A3375" s="5"/>
      <c r="C3375" s="2" t="s">
        <v>2951</v>
      </c>
      <c r="D3375" s="2">
        <v>190000</v>
      </c>
      <c r="E3375" s="2">
        <v>420460</v>
      </c>
      <c r="F3375" s="2">
        <v>630000</v>
      </c>
      <c r="G3375" s="32">
        <f>(SUM(G3366:G3374)-G3370-G3373)*0.21-0.1</f>
        <v>10895.539999999999</v>
      </c>
      <c r="H3375" s="32">
        <f>(SUM(H3366:H3374)-H3370-H3373)*0.21-0.1</f>
        <v>3794.81</v>
      </c>
    </row>
    <row r="3376" spans="1:8" s="2" customFormat="1">
      <c r="A3376" s="5"/>
      <c r="C3376" s="8" t="s">
        <v>1129</v>
      </c>
      <c r="G3376" s="32">
        <f>SUM(G3366:G3375)-G3370-G3373</f>
        <v>62779.539999999994</v>
      </c>
      <c r="H3376" s="32">
        <f>SUM(H3366:H3375)-H3370-H3373</f>
        <v>21865.809999999998</v>
      </c>
    </row>
    <row r="3377" spans="1:8" s="2" customFormat="1">
      <c r="A3377" s="5"/>
      <c r="C3377" s="2" t="s">
        <v>2234</v>
      </c>
      <c r="D3377" s="2">
        <v>190000</v>
      </c>
      <c r="E3377" s="2">
        <v>420460</v>
      </c>
      <c r="F3377" s="2">
        <v>710000</v>
      </c>
      <c r="G3377" s="32">
        <v>29906</v>
      </c>
      <c r="H3377" s="32">
        <v>29906</v>
      </c>
    </row>
    <row r="3378" spans="1:8" s="2" customFormat="1">
      <c r="A3378" s="5"/>
      <c r="C3378" s="2" t="s">
        <v>3222</v>
      </c>
      <c r="D3378" s="2">
        <v>190000</v>
      </c>
      <c r="E3378" s="2">
        <v>420460</v>
      </c>
      <c r="F3378" s="2">
        <v>710000</v>
      </c>
      <c r="G3378" s="32"/>
      <c r="H3378" s="32"/>
    </row>
    <row r="3379" spans="1:8" s="2" customFormat="1">
      <c r="A3379" s="5"/>
      <c r="C3379" s="8" t="s">
        <v>2235</v>
      </c>
      <c r="G3379" s="32">
        <f>SUM(G3376:G3378)</f>
        <v>92685.54</v>
      </c>
      <c r="H3379" s="32">
        <f>SUM(H3376:H3378)</f>
        <v>51771.81</v>
      </c>
    </row>
    <row r="3380" spans="1:8" s="2" customFormat="1">
      <c r="A3380" s="6"/>
      <c r="G3380" s="32"/>
      <c r="H3380" s="32"/>
    </row>
    <row r="3381" spans="1:8" s="2" customFormat="1">
      <c r="A3381" s="6" t="s">
        <v>2578</v>
      </c>
      <c r="B3381" s="2" t="s">
        <v>3223</v>
      </c>
      <c r="G3381" s="32"/>
      <c r="H3381" s="32"/>
    </row>
    <row r="3382" spans="1:8" s="2" customFormat="1">
      <c r="A3382" s="5"/>
      <c r="G3382" s="32"/>
      <c r="H3382" s="32"/>
    </row>
    <row r="3383" spans="1:8" s="2" customFormat="1">
      <c r="A3383" s="5" t="s">
        <v>1729</v>
      </c>
      <c r="B3383" s="2" t="s">
        <v>2926</v>
      </c>
      <c r="C3383" s="2" t="s">
        <v>3224</v>
      </c>
      <c r="D3383" s="2">
        <v>190000</v>
      </c>
      <c r="E3383" s="2">
        <v>420610</v>
      </c>
      <c r="F3383" s="2">
        <v>610610</v>
      </c>
      <c r="G3383" s="32">
        <f>50000+1000</f>
        <v>51000</v>
      </c>
      <c r="H3383" s="32">
        <f>50000+1000</f>
        <v>51000</v>
      </c>
    </row>
    <row r="3384" spans="1:8" s="2" customFormat="1">
      <c r="A3384" s="5" t="s">
        <v>1730</v>
      </c>
      <c r="B3384" s="2" t="s">
        <v>2841</v>
      </c>
      <c r="C3384" s="2" t="s">
        <v>2111</v>
      </c>
      <c r="D3384" s="2">
        <v>190000</v>
      </c>
      <c r="E3384" s="2">
        <v>420610</v>
      </c>
      <c r="F3384" s="2">
        <v>610610</v>
      </c>
      <c r="G3384" s="32">
        <v>30000</v>
      </c>
      <c r="H3384" s="32">
        <v>30000</v>
      </c>
    </row>
    <row r="3385" spans="1:8" s="2" customFormat="1">
      <c r="A3385" s="5" t="s">
        <v>1731</v>
      </c>
      <c r="C3385" s="2" t="s">
        <v>2111</v>
      </c>
      <c r="D3385" s="2">
        <v>190000</v>
      </c>
      <c r="E3385" s="2">
        <v>420610</v>
      </c>
      <c r="F3385" s="2">
        <v>610610</v>
      </c>
      <c r="G3385" s="32">
        <v>23000</v>
      </c>
      <c r="H3385" s="32">
        <v>23000</v>
      </c>
    </row>
    <row r="3386" spans="1:8" s="2" customFormat="1">
      <c r="A3386" s="5" t="s">
        <v>1732</v>
      </c>
      <c r="C3386" s="2" t="s">
        <v>2111</v>
      </c>
      <c r="D3386" s="2">
        <v>190000</v>
      </c>
      <c r="E3386" s="2">
        <v>420610</v>
      </c>
      <c r="F3386" s="2">
        <v>610610</v>
      </c>
      <c r="G3386" s="32">
        <v>17000</v>
      </c>
      <c r="H3386" s="32">
        <v>17000</v>
      </c>
    </row>
    <row r="3387" spans="1:8" s="2" customFormat="1">
      <c r="A3387" s="5" t="s">
        <v>1733</v>
      </c>
      <c r="C3387" s="2" t="s">
        <v>1453</v>
      </c>
      <c r="D3387" s="2">
        <v>190000</v>
      </c>
      <c r="E3387" s="2">
        <v>420610</v>
      </c>
      <c r="F3387" s="2">
        <v>610410</v>
      </c>
      <c r="G3387" s="32">
        <v>18000</v>
      </c>
      <c r="H3387" s="32">
        <v>18000</v>
      </c>
    </row>
    <row r="3388" spans="1:8" s="2" customFormat="1">
      <c r="A3388" s="5"/>
      <c r="C3388" s="2" t="s">
        <v>3221</v>
      </c>
      <c r="D3388" s="2">
        <v>190000</v>
      </c>
      <c r="E3388" s="2">
        <v>420610</v>
      </c>
      <c r="F3388" s="2">
        <v>620000</v>
      </c>
      <c r="G3388" s="32">
        <v>4000</v>
      </c>
      <c r="H3388" s="32">
        <v>4000</v>
      </c>
    </row>
    <row r="3389" spans="1:8" s="2" customFormat="1">
      <c r="A3389" s="5"/>
      <c r="C3389" s="2" t="s">
        <v>2951</v>
      </c>
      <c r="D3389" s="2">
        <v>190000</v>
      </c>
      <c r="E3389" s="2">
        <v>420610</v>
      </c>
      <c r="F3389" s="2">
        <v>630000</v>
      </c>
      <c r="G3389" s="32">
        <f>SUM(G3383:G3388)*0.21</f>
        <v>30030</v>
      </c>
      <c r="H3389" s="32">
        <f>SUM(H3383:H3388)*0.21</f>
        <v>30030</v>
      </c>
    </row>
    <row r="3390" spans="1:8" s="2" customFormat="1">
      <c r="A3390" s="5"/>
      <c r="C3390" s="8" t="s">
        <v>1129</v>
      </c>
      <c r="G3390" s="32">
        <f>SUM(G3383:G3389)</f>
        <v>173030</v>
      </c>
      <c r="H3390" s="32">
        <f>SUM(H3383:H3389)</f>
        <v>173030</v>
      </c>
    </row>
    <row r="3391" spans="1:8" s="2" customFormat="1">
      <c r="A3391" s="5"/>
      <c r="C3391" s="2" t="s">
        <v>2234</v>
      </c>
      <c r="D3391" s="2">
        <v>190000</v>
      </c>
      <c r="E3391" s="2">
        <v>420610</v>
      </c>
      <c r="F3391" s="2">
        <v>710000</v>
      </c>
      <c r="G3391" s="32">
        <v>175000</v>
      </c>
      <c r="H3391" s="32">
        <v>175000</v>
      </c>
    </row>
    <row r="3392" spans="1:8" s="2" customFormat="1">
      <c r="A3392" s="5"/>
      <c r="C3392" s="2" t="s">
        <v>3222</v>
      </c>
      <c r="D3392" s="2">
        <v>190000</v>
      </c>
      <c r="E3392" s="2">
        <v>420610</v>
      </c>
      <c r="F3392" s="2">
        <v>710000</v>
      </c>
      <c r="G3392" s="32">
        <f>165000</f>
        <v>165000</v>
      </c>
      <c r="H3392" s="32">
        <f>165000</f>
        <v>165000</v>
      </c>
    </row>
    <row r="3393" spans="1:8" s="2" customFormat="1">
      <c r="A3393" s="5"/>
      <c r="C3393" s="8" t="s">
        <v>2235</v>
      </c>
      <c r="G3393" s="32">
        <f>SUM(G3390:G3392)</f>
        <v>513030</v>
      </c>
      <c r="H3393" s="32">
        <f>SUM(H3390:H3392)</f>
        <v>513030</v>
      </c>
    </row>
    <row r="3394" spans="1:8" s="2" customFormat="1">
      <c r="A3394" s="5"/>
      <c r="C3394" s="8"/>
      <c r="G3394" s="32"/>
      <c r="H3394" s="32"/>
    </row>
    <row r="3395" spans="1:8" s="2" customFormat="1">
      <c r="A3395" s="6" t="s">
        <v>2584</v>
      </c>
      <c r="B3395" s="2" t="s">
        <v>1544</v>
      </c>
      <c r="G3395" s="32"/>
      <c r="H3395" s="32"/>
    </row>
    <row r="3396" spans="1:8" s="2" customFormat="1">
      <c r="A3396" s="5"/>
      <c r="G3396" s="32"/>
      <c r="H3396" s="32"/>
    </row>
    <row r="3397" spans="1:8" s="2" customFormat="1">
      <c r="A3397" s="5" t="s">
        <v>1740</v>
      </c>
      <c r="B3397" s="2" t="s">
        <v>1545</v>
      </c>
      <c r="C3397" s="2" t="s">
        <v>3224</v>
      </c>
      <c r="D3397" s="2">
        <v>190000</v>
      </c>
      <c r="E3397" s="2">
        <v>420620</v>
      </c>
      <c r="F3397" s="2">
        <v>610610</v>
      </c>
      <c r="G3397" s="32">
        <f>7716+155</f>
        <v>7871</v>
      </c>
      <c r="H3397" s="32">
        <f>7716+155</f>
        <v>7871</v>
      </c>
    </row>
    <row r="3398" spans="1:8" s="2" customFormat="1">
      <c r="A3398" s="5"/>
      <c r="D3398" s="2">
        <v>190000</v>
      </c>
      <c r="E3398" s="2">
        <v>420430</v>
      </c>
      <c r="F3398" s="2">
        <v>610610</v>
      </c>
      <c r="G3398" s="32">
        <f>7716+155</f>
        <v>7871</v>
      </c>
      <c r="H3398" s="32"/>
    </row>
    <row r="3399" spans="1:8" s="2" customFormat="1">
      <c r="A3399" s="5"/>
      <c r="D3399" s="2">
        <v>190000</v>
      </c>
      <c r="E3399" s="2">
        <v>420460</v>
      </c>
      <c r="F3399" s="2">
        <v>610610</v>
      </c>
      <c r="G3399" s="32">
        <f>7716+155</f>
        <v>7871</v>
      </c>
      <c r="H3399" s="32"/>
    </row>
    <row r="3400" spans="1:8" s="2" customFormat="1">
      <c r="A3400" s="5"/>
      <c r="D3400" s="2">
        <v>190000</v>
      </c>
      <c r="E3400" s="2">
        <v>420670</v>
      </c>
      <c r="F3400" s="2">
        <v>610610</v>
      </c>
      <c r="G3400" s="32">
        <f>7716+155</f>
        <v>7871</v>
      </c>
      <c r="H3400" s="32"/>
    </row>
    <row r="3401" spans="1:8" s="2" customFormat="1">
      <c r="A3401" s="5"/>
      <c r="E3401" s="2" t="s">
        <v>2880</v>
      </c>
      <c r="G3401" s="32">
        <f>SUM(G3397:G3400)</f>
        <v>31484</v>
      </c>
      <c r="H3401" s="32">
        <f>SUM(H3397:H3400)</f>
        <v>7871</v>
      </c>
    </row>
    <row r="3402" spans="1:8" s="2" customFormat="1">
      <c r="A3402" s="5" t="s">
        <v>1546</v>
      </c>
      <c r="C3402" s="2" t="s">
        <v>2950</v>
      </c>
      <c r="D3402" s="2">
        <v>190000</v>
      </c>
      <c r="E3402" s="2">
        <v>420620</v>
      </c>
      <c r="F3402" s="2">
        <v>610000</v>
      </c>
      <c r="G3402" s="32"/>
      <c r="H3402" s="32"/>
    </row>
    <row r="3403" spans="1:8" s="2" customFormat="1">
      <c r="A3403" s="5"/>
      <c r="C3403" s="2" t="s">
        <v>2951</v>
      </c>
      <c r="D3403" s="2">
        <v>190000</v>
      </c>
      <c r="E3403" s="2">
        <v>420620</v>
      </c>
      <c r="F3403" s="2">
        <v>630000</v>
      </c>
      <c r="G3403" s="32">
        <f>(SUM(G3397:G3402)-G3401)*0.21</f>
        <v>6611.6399999999994</v>
      </c>
      <c r="H3403" s="32">
        <f>(SUM(H3397:H3402)-H3401)*0.21</f>
        <v>1652.9099999999999</v>
      </c>
    </row>
    <row r="3404" spans="1:8" s="2" customFormat="1">
      <c r="A3404" s="5"/>
      <c r="C3404" s="8" t="s">
        <v>1129</v>
      </c>
      <c r="G3404" s="32">
        <f>SUM(G3397:G3403)-G3401</f>
        <v>38095.64</v>
      </c>
      <c r="H3404" s="32">
        <f>SUM(H3397:H3403)-H3401</f>
        <v>9523.91</v>
      </c>
    </row>
    <row r="3405" spans="1:8" s="2" customFormat="1">
      <c r="A3405" s="5"/>
      <c r="C3405" s="2" t="s">
        <v>2234</v>
      </c>
      <c r="D3405" s="2">
        <v>190000</v>
      </c>
      <c r="E3405" s="2">
        <v>420620</v>
      </c>
      <c r="F3405" s="2">
        <v>710000</v>
      </c>
      <c r="G3405" s="32">
        <v>8383</v>
      </c>
      <c r="H3405" s="32">
        <v>8383</v>
      </c>
    </row>
    <row r="3406" spans="1:8" s="2" customFormat="1">
      <c r="A3406" s="5"/>
      <c r="C3406" s="2" t="s">
        <v>3222</v>
      </c>
      <c r="D3406" s="2">
        <v>190000</v>
      </c>
      <c r="E3406" s="2">
        <v>420620</v>
      </c>
      <c r="F3406" s="2">
        <v>710000</v>
      </c>
      <c r="G3406" s="32">
        <v>78520</v>
      </c>
      <c r="H3406" s="32">
        <v>78520</v>
      </c>
    </row>
    <row r="3407" spans="1:8" s="2" customFormat="1">
      <c r="A3407" s="5"/>
      <c r="C3407" s="8" t="s">
        <v>2235</v>
      </c>
      <c r="G3407" s="32">
        <f>SUM(G3404:G3406)</f>
        <v>124998.64</v>
      </c>
      <c r="H3407" s="32">
        <f>SUM(H3404:H3406)</f>
        <v>96426.91</v>
      </c>
    </row>
    <row r="3408" spans="1:8" s="2" customFormat="1">
      <c r="A3408" s="5"/>
      <c r="G3408" s="32"/>
      <c r="H3408" s="32"/>
    </row>
    <row r="3409" spans="1:8" s="2" customFormat="1">
      <c r="A3409" s="6" t="s">
        <v>2587</v>
      </c>
      <c r="B3409" s="2" t="s">
        <v>1408</v>
      </c>
      <c r="G3409" s="32"/>
      <c r="H3409" s="32"/>
    </row>
    <row r="3410" spans="1:8" s="2" customFormat="1">
      <c r="A3410" s="5"/>
      <c r="G3410" s="32"/>
      <c r="H3410" s="32"/>
    </row>
    <row r="3411" spans="1:8" s="2" customFormat="1">
      <c r="A3411" s="5" t="s">
        <v>1741</v>
      </c>
      <c r="B3411" s="2" t="s">
        <v>1550</v>
      </c>
      <c r="C3411" s="2" t="s">
        <v>3224</v>
      </c>
      <c r="D3411" s="2">
        <v>190000</v>
      </c>
      <c r="E3411" s="2">
        <v>420630</v>
      </c>
      <c r="F3411" s="2">
        <v>610610</v>
      </c>
      <c r="G3411" s="32">
        <f>12662+1130</f>
        <v>13792</v>
      </c>
      <c r="H3411" s="32">
        <f>12662+1130</f>
        <v>13792</v>
      </c>
    </row>
    <row r="3412" spans="1:8" s="2" customFormat="1">
      <c r="A3412" s="5"/>
      <c r="D3412" s="2">
        <v>190000</v>
      </c>
      <c r="E3412" s="2">
        <v>420440</v>
      </c>
      <c r="F3412" s="2">
        <v>610610</v>
      </c>
      <c r="G3412" s="32">
        <f>12662+1130</f>
        <v>13792</v>
      </c>
      <c r="H3412" s="32">
        <v>0</v>
      </c>
    </row>
    <row r="3413" spans="1:8" s="2" customFormat="1">
      <c r="A3413" s="5"/>
      <c r="E3413" s="2" t="s">
        <v>2880</v>
      </c>
      <c r="G3413" s="32">
        <f>G3411+G3412</f>
        <v>27584</v>
      </c>
      <c r="H3413" s="32">
        <f>H3411+H3412</f>
        <v>13792</v>
      </c>
    </row>
    <row r="3414" spans="1:8" s="2" customFormat="1">
      <c r="A3414" s="5" t="s">
        <v>1409</v>
      </c>
      <c r="C3414" s="2" t="s">
        <v>2950</v>
      </c>
      <c r="D3414" s="2">
        <v>190000</v>
      </c>
      <c r="E3414" s="2">
        <v>420630</v>
      </c>
      <c r="F3414" s="2">
        <v>610000</v>
      </c>
      <c r="G3414" s="32">
        <v>3100</v>
      </c>
      <c r="H3414" s="32">
        <v>3100</v>
      </c>
    </row>
    <row r="3415" spans="1:8" s="2" customFormat="1">
      <c r="A3415" s="5"/>
      <c r="C3415" s="2" t="s">
        <v>2951</v>
      </c>
      <c r="D3415" s="2">
        <v>190000</v>
      </c>
      <c r="E3415" s="2">
        <v>420630</v>
      </c>
      <c r="F3415" s="2">
        <v>630000</v>
      </c>
      <c r="G3415" s="32">
        <f>SUM(G3411:G3412)*0.21+G3414*0.08</f>
        <v>6040.6399999999994</v>
      </c>
      <c r="H3415" s="32">
        <f>SUM(H3411:H3412)*0.21+H3414*0.08</f>
        <v>3144.3199999999997</v>
      </c>
    </row>
    <row r="3416" spans="1:8" s="2" customFormat="1">
      <c r="A3416" s="5"/>
      <c r="C3416" s="8" t="s">
        <v>1129</v>
      </c>
      <c r="G3416" s="32">
        <f>SUM(G3411:G3415)-G3413</f>
        <v>36724.639999999999</v>
      </c>
      <c r="H3416" s="32">
        <f>SUM(H3411:H3415)-H3413</f>
        <v>20036.32</v>
      </c>
    </row>
    <row r="3417" spans="1:8" s="2" customFormat="1">
      <c r="A3417" s="5"/>
      <c r="C3417" s="2" t="s">
        <v>2234</v>
      </c>
      <c r="D3417" s="2">
        <v>190000</v>
      </c>
      <c r="E3417" s="2">
        <v>420630</v>
      </c>
      <c r="F3417" s="2">
        <v>710000</v>
      </c>
      <c r="G3417" s="32">
        <v>26947</v>
      </c>
      <c r="H3417" s="32">
        <v>26947</v>
      </c>
    </row>
    <row r="3418" spans="1:8" s="2" customFormat="1">
      <c r="A3418" s="5"/>
      <c r="C3418" s="2" t="s">
        <v>3222</v>
      </c>
      <c r="D3418" s="2">
        <v>190000</v>
      </c>
      <c r="E3418" s="2">
        <v>420630</v>
      </c>
      <c r="F3418" s="2">
        <v>710000</v>
      </c>
      <c r="G3418" s="32">
        <v>38705</v>
      </c>
      <c r="H3418" s="32">
        <v>38705</v>
      </c>
    </row>
    <row r="3419" spans="1:8" s="2" customFormat="1">
      <c r="A3419" s="5"/>
      <c r="C3419" s="8" t="s">
        <v>2235</v>
      </c>
      <c r="G3419" s="32">
        <f>SUM(G3416:G3418)</f>
        <v>102376.64</v>
      </c>
      <c r="H3419" s="32">
        <f>SUM(H3416:H3418)</f>
        <v>85688.320000000007</v>
      </c>
    </row>
    <row r="3420" spans="1:8" s="2" customFormat="1">
      <c r="A3420" s="5"/>
      <c r="G3420" s="32"/>
      <c r="H3420" s="32"/>
    </row>
    <row r="3421" spans="1:8" s="2" customFormat="1">
      <c r="A3421" s="6" t="s">
        <v>2590</v>
      </c>
      <c r="B3421" s="2" t="s">
        <v>1516</v>
      </c>
      <c r="G3421" s="32"/>
      <c r="H3421" s="32"/>
    </row>
    <row r="3422" spans="1:8" s="2" customFormat="1">
      <c r="A3422" s="5"/>
      <c r="G3422" s="32"/>
      <c r="H3422" s="32"/>
    </row>
    <row r="3423" spans="1:8" s="2" customFormat="1">
      <c r="A3423" s="5" t="s">
        <v>1743</v>
      </c>
      <c r="B3423" s="2" t="s">
        <v>1517</v>
      </c>
      <c r="C3423" s="2" t="s">
        <v>3224</v>
      </c>
      <c r="D3423" s="2">
        <v>190000</v>
      </c>
      <c r="E3423" s="2">
        <v>420640</v>
      </c>
      <c r="F3423" s="2">
        <v>610610</v>
      </c>
      <c r="G3423" s="32">
        <f>22433+2100</f>
        <v>24533</v>
      </c>
      <c r="H3423" s="32">
        <f>22433+2100</f>
        <v>24533</v>
      </c>
    </row>
    <row r="3424" spans="1:8" s="2" customFormat="1">
      <c r="A3424" s="5" t="s">
        <v>1518</v>
      </c>
      <c r="C3424" s="2" t="s">
        <v>62</v>
      </c>
      <c r="D3424" s="2">
        <v>190000</v>
      </c>
      <c r="E3424" s="2">
        <v>420640</v>
      </c>
      <c r="F3424" s="2">
        <v>610510</v>
      </c>
      <c r="G3424" s="32">
        <v>3100</v>
      </c>
      <c r="H3424" s="32">
        <v>3100</v>
      </c>
    </row>
    <row r="3425" spans="1:8" s="2" customFormat="1">
      <c r="A3425" s="5"/>
      <c r="C3425" s="2" t="s">
        <v>2951</v>
      </c>
      <c r="D3425" s="2">
        <v>190000</v>
      </c>
      <c r="E3425" s="2">
        <v>420640</v>
      </c>
      <c r="F3425" s="2">
        <v>630000</v>
      </c>
      <c r="G3425" s="32">
        <v>4959</v>
      </c>
      <c r="H3425" s="32">
        <v>4959</v>
      </c>
    </row>
    <row r="3426" spans="1:8" s="2" customFormat="1">
      <c r="A3426" s="5"/>
      <c r="C3426" s="8" t="s">
        <v>1129</v>
      </c>
      <c r="G3426" s="32">
        <f>SUM(G3423:G3425)</f>
        <v>32592</v>
      </c>
      <c r="H3426" s="32">
        <f>SUM(H3423:H3425)</f>
        <v>32592</v>
      </c>
    </row>
    <row r="3427" spans="1:8" s="2" customFormat="1">
      <c r="A3427" s="5"/>
      <c r="C3427" s="2" t="s">
        <v>2234</v>
      </c>
      <c r="D3427" s="2">
        <v>190000</v>
      </c>
      <c r="E3427" s="2">
        <v>420640</v>
      </c>
      <c r="F3427" s="2">
        <v>710000</v>
      </c>
      <c r="G3427" s="32">
        <v>22206</v>
      </c>
      <c r="H3427" s="32">
        <v>22206</v>
      </c>
    </row>
    <row r="3428" spans="1:8" s="2" customFormat="1">
      <c r="A3428" s="5"/>
      <c r="C3428" s="2" t="s">
        <v>3222</v>
      </c>
      <c r="D3428" s="2">
        <v>190000</v>
      </c>
      <c r="E3428" s="2">
        <v>420640</v>
      </c>
      <c r="F3428" s="2">
        <v>710000</v>
      </c>
      <c r="G3428" s="32">
        <v>76630</v>
      </c>
      <c r="H3428" s="32">
        <v>76630</v>
      </c>
    </row>
    <row r="3429" spans="1:8" s="2" customFormat="1">
      <c r="A3429" s="5"/>
      <c r="C3429" s="8" t="s">
        <v>2235</v>
      </c>
      <c r="G3429" s="32">
        <f>SUM(G3426:G3428)</f>
        <v>131428</v>
      </c>
      <c r="H3429" s="32">
        <f>SUM(H3426:H3428)</f>
        <v>131428</v>
      </c>
    </row>
    <row r="3430" spans="1:8" s="2" customFormat="1">
      <c r="A3430" s="5"/>
      <c r="C3430" s="8"/>
      <c r="G3430" s="32"/>
      <c r="H3430" s="32"/>
    </row>
    <row r="3431" spans="1:8" s="2" customFormat="1">
      <c r="A3431" s="6" t="s">
        <v>2583</v>
      </c>
      <c r="B3431" s="2" t="s">
        <v>63</v>
      </c>
      <c r="G3431" s="32"/>
      <c r="H3431" s="32"/>
    </row>
    <row r="3432" spans="1:8" s="2" customFormat="1">
      <c r="A3432" s="20"/>
      <c r="G3432" s="32"/>
      <c r="H3432" s="32"/>
    </row>
    <row r="3433" spans="1:8" s="2" customFormat="1">
      <c r="A3433" s="5" t="s">
        <v>1739</v>
      </c>
      <c r="B3433" s="2" t="s">
        <v>64</v>
      </c>
      <c r="C3433" s="2" t="s">
        <v>3224</v>
      </c>
      <c r="D3433" s="2">
        <v>190000</v>
      </c>
      <c r="E3433" s="2">
        <v>420650</v>
      </c>
      <c r="F3433" s="2">
        <v>610610</v>
      </c>
      <c r="G3433" s="32">
        <f>38789+1664</f>
        <v>40453</v>
      </c>
      <c r="H3433" s="32">
        <f>38789+1664</f>
        <v>40453</v>
      </c>
    </row>
    <row r="3434" spans="1:8" s="2" customFormat="1">
      <c r="A3434" s="5" t="s">
        <v>1542</v>
      </c>
      <c r="C3434" s="2" t="s">
        <v>62</v>
      </c>
      <c r="D3434" s="2">
        <v>190000</v>
      </c>
      <c r="E3434" s="2">
        <v>420650</v>
      </c>
      <c r="F3434" s="2">
        <v>610510</v>
      </c>
      <c r="G3434" s="32">
        <v>3100</v>
      </c>
      <c r="H3434" s="32">
        <v>3100</v>
      </c>
    </row>
    <row r="3435" spans="1:8" s="2" customFormat="1">
      <c r="A3435" s="5"/>
      <c r="C3435" s="2" t="s">
        <v>115</v>
      </c>
      <c r="D3435" s="2">
        <v>190000</v>
      </c>
      <c r="E3435" s="2">
        <v>420650</v>
      </c>
      <c r="F3435" s="2">
        <v>610910</v>
      </c>
      <c r="G3435" s="32">
        <v>400</v>
      </c>
      <c r="H3435" s="32">
        <v>400</v>
      </c>
    </row>
    <row r="3436" spans="1:8" s="2" customFormat="1">
      <c r="A3436" s="5" t="s">
        <v>1543</v>
      </c>
      <c r="C3436" s="2" t="s">
        <v>2903</v>
      </c>
      <c r="D3436" s="2">
        <v>190000</v>
      </c>
      <c r="E3436" s="2">
        <v>420650</v>
      </c>
      <c r="F3436" s="2">
        <v>620000</v>
      </c>
      <c r="G3436" s="32">
        <v>1500</v>
      </c>
      <c r="H3436" s="32">
        <v>1500</v>
      </c>
    </row>
    <row r="3437" spans="1:8" s="2" customFormat="1">
      <c r="A3437" s="5"/>
      <c r="C3437" s="2" t="s">
        <v>2951</v>
      </c>
      <c r="D3437" s="2">
        <v>190000</v>
      </c>
      <c r="E3437" s="2">
        <v>420650</v>
      </c>
      <c r="F3437" s="2">
        <v>630000</v>
      </c>
      <c r="G3437" s="32">
        <f>SUM(G3433:G3435)*0.21+G3436*0.08</f>
        <v>9350.1299999999992</v>
      </c>
      <c r="H3437" s="32">
        <f>SUM(H3433:H3435)*0.21+H3436*0.08</f>
        <v>9350.1299999999992</v>
      </c>
    </row>
    <row r="3438" spans="1:8" s="2" customFormat="1">
      <c r="A3438" s="5"/>
      <c r="C3438" s="8" t="s">
        <v>1129</v>
      </c>
      <c r="G3438" s="32">
        <f>SUM(G3433:G3437)</f>
        <v>54803.13</v>
      </c>
      <c r="H3438" s="32">
        <f>SUM(H3433:H3437)</f>
        <v>54803.13</v>
      </c>
    </row>
    <row r="3439" spans="1:8" s="2" customFormat="1">
      <c r="A3439" s="5"/>
      <c r="C3439" s="2" t="s">
        <v>2234</v>
      </c>
      <c r="D3439" s="2">
        <v>190000</v>
      </c>
      <c r="E3439" s="2">
        <v>420650</v>
      </c>
      <c r="F3439" s="2">
        <v>710000</v>
      </c>
      <c r="G3439" s="32">
        <v>7000</v>
      </c>
      <c r="H3439" s="32">
        <v>7000</v>
      </c>
    </row>
    <row r="3440" spans="1:8" s="2" customFormat="1">
      <c r="A3440" s="5"/>
      <c r="C3440" s="2" t="s">
        <v>3222</v>
      </c>
      <c r="D3440" s="2">
        <v>190000</v>
      </c>
      <c r="E3440" s="2">
        <v>420650</v>
      </c>
      <c r="F3440" s="2">
        <v>710000</v>
      </c>
      <c r="G3440" s="32">
        <v>40000</v>
      </c>
      <c r="H3440" s="32">
        <v>40000</v>
      </c>
    </row>
    <row r="3441" spans="1:8" s="2" customFormat="1">
      <c r="A3441" s="5"/>
      <c r="C3441" s="8" t="s">
        <v>2235</v>
      </c>
      <c r="G3441" s="32">
        <f>SUM(G3438:G3440)</f>
        <v>101803.13</v>
      </c>
      <c r="H3441" s="32">
        <f>SUM(H3438:H3440)</f>
        <v>101803.13</v>
      </c>
    </row>
    <row r="3442" spans="1:8" s="2" customFormat="1">
      <c r="A3442" s="5"/>
      <c r="G3442" s="32"/>
      <c r="H3442" s="32"/>
    </row>
    <row r="3443" spans="1:8" s="2" customFormat="1">
      <c r="A3443" s="6" t="s">
        <v>2582</v>
      </c>
      <c r="B3443" s="2" t="s">
        <v>60</v>
      </c>
      <c r="G3443" s="32"/>
      <c r="H3443" s="32"/>
    </row>
    <row r="3444" spans="1:8" s="2" customFormat="1">
      <c r="A3444" s="5"/>
      <c r="G3444" s="32"/>
      <c r="H3444" s="32"/>
    </row>
    <row r="3445" spans="1:8" s="2" customFormat="1">
      <c r="A3445" s="5" t="s">
        <v>1738</v>
      </c>
      <c r="B3445" s="2" t="s">
        <v>2482</v>
      </c>
      <c r="C3445" s="2" t="s">
        <v>3224</v>
      </c>
      <c r="D3445" s="2">
        <v>190000</v>
      </c>
      <c r="E3445" s="2">
        <v>420660</v>
      </c>
      <c r="F3445" s="2">
        <v>610610</v>
      </c>
      <c r="G3445" s="32">
        <f>13042+1130</f>
        <v>14172</v>
      </c>
      <c r="H3445" s="32">
        <f>13042+1130</f>
        <v>14172</v>
      </c>
    </row>
    <row r="3446" spans="1:8" s="2" customFormat="1">
      <c r="A3446" s="5"/>
      <c r="D3446" s="2">
        <v>190000</v>
      </c>
      <c r="E3446" s="2">
        <v>420450</v>
      </c>
      <c r="F3446" s="2">
        <v>610610</v>
      </c>
      <c r="G3446" s="32">
        <f>13042+1130</f>
        <v>14172</v>
      </c>
      <c r="H3446" s="32"/>
    </row>
    <row r="3447" spans="1:8" s="2" customFormat="1">
      <c r="A3447" s="5"/>
      <c r="E3447" s="2" t="s">
        <v>2880</v>
      </c>
      <c r="G3447" s="32">
        <f>G3445+G3446</f>
        <v>28344</v>
      </c>
      <c r="H3447" s="32">
        <f>H3445+H3446</f>
        <v>14172</v>
      </c>
    </row>
    <row r="3448" spans="1:8" s="2" customFormat="1">
      <c r="A3448" s="5" t="s">
        <v>61</v>
      </c>
      <c r="C3448" s="2" t="s">
        <v>62</v>
      </c>
      <c r="D3448" s="2">
        <v>190000</v>
      </c>
      <c r="E3448" s="2">
        <v>420660</v>
      </c>
      <c r="F3448" s="2">
        <v>610510</v>
      </c>
      <c r="G3448" s="32">
        <v>3100</v>
      </c>
      <c r="H3448" s="32">
        <v>3100</v>
      </c>
    </row>
    <row r="3449" spans="1:8" s="2" customFormat="1">
      <c r="A3449" s="5"/>
      <c r="C3449" s="2" t="s">
        <v>2951</v>
      </c>
      <c r="D3449" s="2">
        <v>190000</v>
      </c>
      <c r="E3449" s="2">
        <v>420660</v>
      </c>
      <c r="F3449" s="2">
        <v>630000</v>
      </c>
      <c r="G3449" s="32">
        <f>SUM(G3445:G3446)*0.21+G3448*0.08</f>
        <v>6200.24</v>
      </c>
      <c r="H3449" s="32">
        <f>SUM(H3445:H3446)*0.21+H3448*0.08</f>
        <v>3224.12</v>
      </c>
    </row>
    <row r="3450" spans="1:8" s="2" customFormat="1">
      <c r="A3450" s="5"/>
      <c r="C3450" s="8" t="s">
        <v>1129</v>
      </c>
      <c r="G3450" s="32">
        <f>SUM(G3445:G3449)-G3447</f>
        <v>37644.240000000005</v>
      </c>
      <c r="H3450" s="32">
        <f>SUM(H3445:H3449)-H3447</f>
        <v>20496.120000000003</v>
      </c>
    </row>
    <row r="3451" spans="1:8" s="2" customFormat="1">
      <c r="A3451" s="5"/>
      <c r="C3451" s="2" t="s">
        <v>2234</v>
      </c>
      <c r="D3451" s="2">
        <v>190000</v>
      </c>
      <c r="E3451" s="2">
        <v>420660</v>
      </c>
      <c r="F3451" s="2">
        <v>710000</v>
      </c>
      <c r="G3451" s="32">
        <v>21978</v>
      </c>
      <c r="H3451" s="32">
        <v>21978</v>
      </c>
    </row>
    <row r="3452" spans="1:8" s="2" customFormat="1">
      <c r="A3452" s="5"/>
      <c r="C3452" s="2" t="s">
        <v>3222</v>
      </c>
      <c r="D3452" s="2">
        <v>190000</v>
      </c>
      <c r="E3452" s="2">
        <v>420660</v>
      </c>
      <c r="F3452" s="2">
        <v>710000</v>
      </c>
      <c r="G3452" s="32">
        <v>36705</v>
      </c>
      <c r="H3452" s="32">
        <v>36705</v>
      </c>
    </row>
    <row r="3453" spans="1:8" s="2" customFormat="1">
      <c r="A3453" s="5"/>
      <c r="C3453" s="8" t="s">
        <v>2235</v>
      </c>
      <c r="G3453" s="32">
        <f>SUM(G3450:G3452)</f>
        <v>96327.24</v>
      </c>
      <c r="H3453" s="32">
        <f>SUM(H3450:H3452)</f>
        <v>79179.12</v>
      </c>
    </row>
    <row r="3454" spans="1:8" s="2" customFormat="1">
      <c r="A3454" s="5"/>
      <c r="G3454" s="32"/>
      <c r="H3454" s="32"/>
    </row>
    <row r="3455" spans="1:8" s="2" customFormat="1">
      <c r="A3455" s="6" t="s">
        <v>2589</v>
      </c>
      <c r="B3455" s="2" t="s">
        <v>2498</v>
      </c>
      <c r="G3455" s="32"/>
      <c r="H3455" s="32"/>
    </row>
    <row r="3456" spans="1:8" s="2" customFormat="1">
      <c r="A3456" s="6"/>
      <c r="G3456" s="32"/>
      <c r="H3456" s="32"/>
    </row>
    <row r="3457" spans="1:8" s="2" customFormat="1">
      <c r="A3457" s="5" t="s">
        <v>1740</v>
      </c>
      <c r="B3457" s="2" t="s">
        <v>1545</v>
      </c>
      <c r="C3457" s="2" t="s">
        <v>3224</v>
      </c>
      <c r="D3457" s="2">
        <v>190000</v>
      </c>
      <c r="E3457" s="2">
        <v>420670</v>
      </c>
      <c r="F3457" s="2">
        <v>610610</v>
      </c>
      <c r="G3457" s="32">
        <f>7716+155</f>
        <v>7871</v>
      </c>
      <c r="H3457" s="32">
        <f>7716+155</f>
        <v>7871</v>
      </c>
    </row>
    <row r="3458" spans="1:8" s="2" customFormat="1">
      <c r="A3458" s="5"/>
      <c r="D3458" s="2">
        <v>190000</v>
      </c>
      <c r="E3458" s="2">
        <v>420620</v>
      </c>
      <c r="F3458" s="2">
        <v>610610</v>
      </c>
      <c r="G3458" s="32">
        <f>7716+155</f>
        <v>7871</v>
      </c>
      <c r="H3458" s="32"/>
    </row>
    <row r="3459" spans="1:8" s="2" customFormat="1">
      <c r="A3459" s="5"/>
      <c r="D3459" s="2">
        <v>190000</v>
      </c>
      <c r="E3459" s="2">
        <v>420460</v>
      </c>
      <c r="F3459" s="2">
        <v>610610</v>
      </c>
      <c r="G3459" s="32">
        <f>7716+155</f>
        <v>7871</v>
      </c>
      <c r="H3459" s="32"/>
    </row>
    <row r="3460" spans="1:8" s="2" customFormat="1">
      <c r="A3460" s="5"/>
      <c r="D3460" s="2">
        <v>190000</v>
      </c>
      <c r="E3460" s="2">
        <v>420430</v>
      </c>
      <c r="F3460" s="2">
        <v>610610</v>
      </c>
      <c r="G3460" s="32">
        <f>7716+155</f>
        <v>7871</v>
      </c>
      <c r="H3460" s="32"/>
    </row>
    <row r="3461" spans="1:8" s="2" customFormat="1">
      <c r="A3461" s="5"/>
      <c r="E3461" s="2" t="s">
        <v>2880</v>
      </c>
      <c r="G3461" s="32">
        <f>SUM(G3457:G3460)</f>
        <v>31484</v>
      </c>
      <c r="H3461" s="32">
        <f>SUM(H3457:H3460)</f>
        <v>7871</v>
      </c>
    </row>
    <row r="3462" spans="1:8" s="2" customFormat="1">
      <c r="A3462" s="6" t="s">
        <v>1742</v>
      </c>
      <c r="B3462" s="2" t="s">
        <v>2842</v>
      </c>
      <c r="C3462" s="2" t="s">
        <v>2111</v>
      </c>
      <c r="D3462" s="2">
        <v>190000</v>
      </c>
      <c r="E3462" s="2">
        <v>420670</v>
      </c>
      <c r="F3462" s="2">
        <v>610610</v>
      </c>
      <c r="G3462" s="32">
        <f>10000+200</f>
        <v>10200</v>
      </c>
      <c r="H3462" s="32">
        <f>10000+200</f>
        <v>10200</v>
      </c>
    </row>
    <row r="3463" spans="1:8" s="2" customFormat="1">
      <c r="A3463" s="5"/>
      <c r="D3463" s="2">
        <v>190000</v>
      </c>
      <c r="E3463" s="2">
        <v>420460</v>
      </c>
      <c r="F3463" s="2">
        <v>610610</v>
      </c>
      <c r="G3463" s="32">
        <f>10000+200</f>
        <v>10200</v>
      </c>
      <c r="H3463" s="32"/>
    </row>
    <row r="3464" spans="1:8" s="2" customFormat="1">
      <c r="A3464" s="5"/>
      <c r="E3464" s="2" t="s">
        <v>2880</v>
      </c>
      <c r="G3464" s="32">
        <f>SUM(G3462:G3463)</f>
        <v>20400</v>
      </c>
      <c r="H3464" s="32">
        <f>SUM(H3462:H3463)</f>
        <v>10200</v>
      </c>
    </row>
    <row r="3465" spans="1:8" s="2" customFormat="1">
      <c r="A3465" s="5" t="s">
        <v>2499</v>
      </c>
      <c r="C3465" s="2" t="s">
        <v>2950</v>
      </c>
      <c r="D3465" s="2">
        <v>190000</v>
      </c>
      <c r="E3465" s="2">
        <v>420670</v>
      </c>
      <c r="F3465" s="2">
        <v>610000</v>
      </c>
      <c r="G3465" s="32"/>
      <c r="H3465" s="32"/>
    </row>
    <row r="3466" spans="1:8" s="2" customFormat="1">
      <c r="A3466" s="5" t="s">
        <v>2500</v>
      </c>
      <c r="C3466" s="2" t="s">
        <v>62</v>
      </c>
      <c r="D3466" s="2">
        <v>190000</v>
      </c>
      <c r="E3466" s="2">
        <v>420670</v>
      </c>
      <c r="F3466" s="2">
        <v>610510</v>
      </c>
      <c r="G3466" s="32">
        <v>3100</v>
      </c>
      <c r="H3466" s="32">
        <v>3100</v>
      </c>
    </row>
    <row r="3467" spans="1:8" s="2" customFormat="1">
      <c r="A3467" s="5"/>
      <c r="C3467" s="2" t="s">
        <v>2951</v>
      </c>
      <c r="D3467" s="2">
        <v>190000</v>
      </c>
      <c r="E3467" s="2">
        <v>420670</v>
      </c>
      <c r="F3467" s="2">
        <v>630000</v>
      </c>
      <c r="G3467" s="32">
        <f>(SUM(G3457:G3465)-G3461-G3464)*0.21+G3466*0.08-0.1</f>
        <v>11143.539999999999</v>
      </c>
      <c r="H3467" s="32">
        <f>(SUM(H3457:H3465)-H3461-H3464)*0.21+H3466*0.08-0.1</f>
        <v>4042.81</v>
      </c>
    </row>
    <row r="3468" spans="1:8" s="2" customFormat="1">
      <c r="A3468" s="5"/>
      <c r="C3468" s="8" t="s">
        <v>1129</v>
      </c>
      <c r="G3468" s="32">
        <f>SUM(G3457:G3467)-G3461-G3464</f>
        <v>66127.539999999994</v>
      </c>
      <c r="H3468" s="32">
        <f>SUM(H3457:H3467)-H3461-H3464</f>
        <v>25213.809999999998</v>
      </c>
    </row>
    <row r="3469" spans="1:8" s="2" customFormat="1">
      <c r="A3469" s="5"/>
      <c r="C3469" s="2" t="s">
        <v>2234</v>
      </c>
      <c r="D3469" s="2">
        <v>190000</v>
      </c>
      <c r="E3469" s="2">
        <v>420670</v>
      </c>
      <c r="F3469" s="2">
        <v>710000</v>
      </c>
      <c r="G3469" s="32">
        <v>41405</v>
      </c>
      <c r="H3469" s="32">
        <v>41405</v>
      </c>
    </row>
    <row r="3470" spans="1:8" s="2" customFormat="1">
      <c r="A3470" s="5"/>
      <c r="C3470" s="2" t="s">
        <v>3222</v>
      </c>
      <c r="D3470" s="2">
        <v>190000</v>
      </c>
      <c r="E3470" s="2">
        <v>420670</v>
      </c>
      <c r="F3470" s="2">
        <v>710000</v>
      </c>
      <c r="G3470" s="32"/>
      <c r="H3470" s="32"/>
    </row>
    <row r="3471" spans="1:8" s="2" customFormat="1">
      <c r="A3471" s="5"/>
      <c r="C3471" s="8" t="s">
        <v>2235</v>
      </c>
      <c r="G3471" s="32">
        <f>SUM(G3468:G3470)</f>
        <v>107532.54</v>
      </c>
      <c r="H3471" s="32">
        <f>SUM(H3468:H3470)</f>
        <v>66618.81</v>
      </c>
    </row>
    <row r="3472" spans="1:8" s="2" customFormat="1">
      <c r="A3472" s="5"/>
      <c r="G3472" s="32"/>
      <c r="H3472" s="32"/>
    </row>
    <row r="3473" spans="1:8" s="2" customFormat="1">
      <c r="A3473" s="6" t="s">
        <v>2579</v>
      </c>
      <c r="B3473" s="2" t="s">
        <v>2473</v>
      </c>
      <c r="G3473" s="32"/>
      <c r="H3473" s="32"/>
    </row>
    <row r="3474" spans="1:8" s="2" customFormat="1">
      <c r="A3474" s="5"/>
      <c r="G3474" s="32"/>
      <c r="H3474" s="32"/>
    </row>
    <row r="3475" spans="1:8" s="2" customFormat="1">
      <c r="A3475" s="6" t="s">
        <v>1734</v>
      </c>
      <c r="B3475" s="2" t="s">
        <v>2474</v>
      </c>
      <c r="C3475" s="2" t="s">
        <v>2475</v>
      </c>
      <c r="D3475" s="2">
        <v>190000</v>
      </c>
      <c r="E3475" s="2">
        <v>420680</v>
      </c>
      <c r="F3475" s="2">
        <v>610610</v>
      </c>
      <c r="G3475" s="32">
        <f>41736+834</f>
        <v>42570</v>
      </c>
      <c r="H3475" s="32">
        <f>41736+834</f>
        <v>42570</v>
      </c>
    </row>
    <row r="3476" spans="1:8" s="2" customFormat="1">
      <c r="A3476" s="5" t="s">
        <v>1735</v>
      </c>
      <c r="C3476" s="2" t="s">
        <v>2111</v>
      </c>
      <c r="D3476" s="2">
        <v>190000</v>
      </c>
      <c r="E3476" s="2">
        <v>420680</v>
      </c>
      <c r="F3476" s="2">
        <v>610610</v>
      </c>
      <c r="G3476" s="32">
        <v>20260</v>
      </c>
      <c r="H3476" s="32">
        <v>20260</v>
      </c>
    </row>
    <row r="3477" spans="1:8" s="2" customFormat="1">
      <c r="A3477" s="5" t="s">
        <v>2476</v>
      </c>
      <c r="C3477" s="2" t="s">
        <v>2950</v>
      </c>
      <c r="D3477" s="2">
        <v>190000</v>
      </c>
      <c r="E3477" s="2">
        <v>420680</v>
      </c>
      <c r="F3477" s="2">
        <v>610000</v>
      </c>
      <c r="G3477" s="32"/>
      <c r="H3477" s="32"/>
    </row>
    <row r="3478" spans="1:8" s="2" customFormat="1">
      <c r="A3478" s="5"/>
      <c r="C3478" s="2" t="s">
        <v>115</v>
      </c>
      <c r="D3478" s="2">
        <v>190000</v>
      </c>
      <c r="E3478" s="2">
        <v>420680</v>
      </c>
      <c r="F3478" s="2">
        <v>610910</v>
      </c>
      <c r="G3478" s="32">
        <v>300</v>
      </c>
      <c r="H3478" s="32">
        <v>300</v>
      </c>
    </row>
    <row r="3479" spans="1:8" s="2" customFormat="1">
      <c r="A3479" s="5"/>
      <c r="C3479" s="2" t="s">
        <v>2951</v>
      </c>
      <c r="D3479" s="2">
        <v>190000</v>
      </c>
      <c r="E3479" s="2">
        <v>420680</v>
      </c>
      <c r="F3479" s="2">
        <v>630000</v>
      </c>
      <c r="G3479" s="32">
        <f>(G3475+G3476+G3477)*0.21</f>
        <v>13194.3</v>
      </c>
      <c r="H3479" s="32">
        <f>(H3475+H3476+H3477)*0.21</f>
        <v>13194.3</v>
      </c>
    </row>
    <row r="3480" spans="1:8" s="2" customFormat="1">
      <c r="A3480" s="5"/>
      <c r="C3480" s="8" t="s">
        <v>1129</v>
      </c>
      <c r="G3480" s="32">
        <f>SUM(G3475:G3479)</f>
        <v>76324.3</v>
      </c>
      <c r="H3480" s="32">
        <f>SUM(H3475:H3479)</f>
        <v>76324.3</v>
      </c>
    </row>
    <row r="3481" spans="1:8" s="2" customFormat="1">
      <c r="A3481" s="5"/>
      <c r="C3481" s="2" t="s">
        <v>2234</v>
      </c>
      <c r="D3481" s="2">
        <v>190000</v>
      </c>
      <c r="E3481" s="2">
        <v>420680</v>
      </c>
      <c r="F3481" s="2">
        <v>710000</v>
      </c>
      <c r="G3481" s="32">
        <v>37569</v>
      </c>
      <c r="H3481" s="32">
        <v>37569</v>
      </c>
    </row>
    <row r="3482" spans="1:8" s="2" customFormat="1">
      <c r="A3482" s="5"/>
      <c r="C3482" s="2" t="s">
        <v>3222</v>
      </c>
      <c r="D3482" s="2">
        <v>190000</v>
      </c>
      <c r="E3482" s="2">
        <v>420680</v>
      </c>
      <c r="F3482" s="2">
        <v>710000</v>
      </c>
      <c r="G3482" s="32">
        <v>98150</v>
      </c>
      <c r="H3482" s="32">
        <v>98150</v>
      </c>
    </row>
    <row r="3483" spans="1:8" s="2" customFormat="1">
      <c r="A3483" s="5"/>
      <c r="C3483" s="8" t="s">
        <v>2235</v>
      </c>
      <c r="G3483" s="32">
        <f>SUM(G3480:G3482)</f>
        <v>212043.3</v>
      </c>
      <c r="H3483" s="32">
        <f>SUM(H3480:H3482)</f>
        <v>212043.3</v>
      </c>
    </row>
    <row r="3484" spans="1:8" s="2" customFormat="1">
      <c r="A3484" s="5"/>
      <c r="G3484" s="32"/>
      <c r="H3484" s="32"/>
    </row>
    <row r="3485" spans="1:8" s="2" customFormat="1">
      <c r="A3485" s="6" t="s">
        <v>2577</v>
      </c>
      <c r="B3485" s="2" t="s">
        <v>2122</v>
      </c>
      <c r="C3485" s="8"/>
      <c r="G3485" s="32"/>
      <c r="H3485" s="32"/>
    </row>
    <row r="3486" spans="1:8" s="2" customFormat="1">
      <c r="A3486" s="6"/>
      <c r="C3486" s="8"/>
      <c r="G3486" s="32"/>
      <c r="H3486" s="32"/>
    </row>
    <row r="3487" spans="1:8" s="2" customFormat="1">
      <c r="A3487" s="6"/>
      <c r="C3487" s="15" t="s">
        <v>2903</v>
      </c>
      <c r="D3487" s="2">
        <v>190000</v>
      </c>
      <c r="E3487" s="2">
        <v>420810</v>
      </c>
      <c r="F3487" s="2">
        <v>620000</v>
      </c>
      <c r="G3487" s="32">
        <v>8000</v>
      </c>
      <c r="H3487" s="32">
        <v>8000</v>
      </c>
    </row>
    <row r="3488" spans="1:8" s="2" customFormat="1">
      <c r="A3488" s="6"/>
      <c r="C3488" s="15" t="s">
        <v>2950</v>
      </c>
      <c r="D3488" s="2">
        <v>190000</v>
      </c>
      <c r="E3488" s="2">
        <v>420810</v>
      </c>
      <c r="F3488" s="2">
        <v>610000</v>
      </c>
      <c r="G3488" s="32">
        <v>2108</v>
      </c>
      <c r="H3488" s="32">
        <v>2108</v>
      </c>
    </row>
    <row r="3489" spans="1:8" s="2" customFormat="1">
      <c r="A3489" s="6"/>
      <c r="C3489" s="15" t="s">
        <v>2951</v>
      </c>
      <c r="D3489" s="2">
        <v>190000</v>
      </c>
      <c r="E3489" s="2">
        <v>420810</v>
      </c>
      <c r="F3489" s="2">
        <v>630000</v>
      </c>
      <c r="G3489" s="32">
        <f>(G3487*0.08)</f>
        <v>640</v>
      </c>
      <c r="H3489" s="32">
        <f>(H3487*0.08)</f>
        <v>640</v>
      </c>
    </row>
    <row r="3490" spans="1:8" s="2" customFormat="1">
      <c r="A3490" s="6"/>
      <c r="C3490" s="8" t="s">
        <v>1129</v>
      </c>
      <c r="G3490" s="32">
        <f>SUM(G3487:G3489)</f>
        <v>10748</v>
      </c>
      <c r="H3490" s="32">
        <f>SUM(H3487:H3489)</f>
        <v>10748</v>
      </c>
    </row>
    <row r="3491" spans="1:8" s="2" customFormat="1">
      <c r="A3491" s="6"/>
      <c r="C3491" s="2" t="s">
        <v>2234</v>
      </c>
      <c r="D3491" s="2">
        <v>190000</v>
      </c>
      <c r="E3491" s="2">
        <v>420810</v>
      </c>
      <c r="F3491" s="2">
        <v>710000</v>
      </c>
      <c r="G3491" s="32">
        <v>23190</v>
      </c>
      <c r="H3491" s="32">
        <v>23190</v>
      </c>
    </row>
    <row r="3492" spans="1:8" s="2" customFormat="1">
      <c r="A3492" s="6"/>
      <c r="C3492" s="8" t="s">
        <v>2235</v>
      </c>
      <c r="G3492" s="32">
        <f>SUM(G3490:G3491)</f>
        <v>33938</v>
      </c>
      <c r="H3492" s="32">
        <f>SUM(H3490:H3491)</f>
        <v>33938</v>
      </c>
    </row>
    <row r="3493" spans="1:8" s="2" customFormat="1">
      <c r="A3493" s="6"/>
      <c r="C3493" s="8"/>
      <c r="G3493" s="32"/>
      <c r="H3493" s="32"/>
    </row>
    <row r="3494" spans="1:8" s="2" customFormat="1">
      <c r="A3494" s="6" t="s">
        <v>2503</v>
      </c>
      <c r="B3494" s="2" t="s">
        <v>2784</v>
      </c>
      <c r="G3494" s="32"/>
      <c r="H3494" s="32"/>
    </row>
    <row r="3495" spans="1:8" s="2" customFormat="1">
      <c r="A3495" s="6"/>
      <c r="G3495" s="32"/>
      <c r="H3495" s="32"/>
    </row>
    <row r="3496" spans="1:8" s="2" customFormat="1">
      <c r="A3496" s="6"/>
      <c r="C3496" s="2" t="s">
        <v>2234</v>
      </c>
      <c r="D3496" s="2">
        <v>191100</v>
      </c>
      <c r="E3496" s="2">
        <v>320000</v>
      </c>
      <c r="F3496" s="2">
        <v>710000</v>
      </c>
      <c r="G3496" s="32">
        <v>86300</v>
      </c>
      <c r="H3496" s="32">
        <v>86300</v>
      </c>
    </row>
    <row r="3497" spans="1:8" s="2" customFormat="1">
      <c r="A3497" s="6"/>
      <c r="C3497" s="8" t="s">
        <v>2235</v>
      </c>
      <c r="G3497" s="32">
        <v>86300</v>
      </c>
      <c r="H3497" s="32">
        <v>86300</v>
      </c>
    </row>
    <row r="3498" spans="1:8" s="2" customFormat="1">
      <c r="A3498" s="6"/>
      <c r="G3498" s="32"/>
      <c r="H3498" s="32"/>
    </row>
    <row r="3499" spans="1:8" s="2" customFormat="1">
      <c r="A3499" s="6" t="s">
        <v>465</v>
      </c>
      <c r="B3499" s="2" t="s">
        <v>134</v>
      </c>
      <c r="G3499" s="32"/>
      <c r="H3499" s="32"/>
    </row>
    <row r="3500" spans="1:8" s="2" customFormat="1">
      <c r="A3500" s="6"/>
      <c r="G3500" s="32"/>
      <c r="H3500" s="32"/>
    </row>
    <row r="3501" spans="1:8" s="2" customFormat="1">
      <c r="A3501" s="6"/>
      <c r="C3501" s="2" t="s">
        <v>2234</v>
      </c>
      <c r="D3501" s="2">
        <v>191200</v>
      </c>
      <c r="E3501" s="2">
        <v>660000</v>
      </c>
      <c r="F3501" s="19">
        <v>551700</v>
      </c>
      <c r="G3501" s="32">
        <v>8250</v>
      </c>
      <c r="H3501" s="32">
        <v>8250</v>
      </c>
    </row>
    <row r="3502" spans="1:8" s="2" customFormat="1">
      <c r="A3502" s="6"/>
      <c r="C3502" s="8" t="s">
        <v>2235</v>
      </c>
      <c r="G3502" s="32">
        <f>G3501</f>
        <v>8250</v>
      </c>
      <c r="H3502" s="32">
        <f>H3501</f>
        <v>8250</v>
      </c>
    </row>
    <row r="3503" spans="1:8" s="2" customFormat="1">
      <c r="A3503" s="6"/>
      <c r="G3503" s="32"/>
      <c r="H3503" s="32"/>
    </row>
    <row r="3504" spans="1:8" s="2" customFormat="1">
      <c r="A3504" s="6" t="s">
        <v>465</v>
      </c>
      <c r="B3504" s="2" t="s">
        <v>135</v>
      </c>
      <c r="G3504" s="32"/>
      <c r="H3504" s="32"/>
    </row>
    <row r="3505" spans="1:8" s="2" customFormat="1">
      <c r="A3505" s="6"/>
      <c r="G3505" s="32"/>
      <c r="H3505" s="32"/>
    </row>
    <row r="3506" spans="1:8" s="2" customFormat="1">
      <c r="A3506" s="6"/>
      <c r="C3506" s="2" t="s">
        <v>2234</v>
      </c>
      <c r="D3506" s="2">
        <v>191200</v>
      </c>
      <c r="E3506" s="2">
        <v>660000</v>
      </c>
      <c r="F3506" s="19">
        <v>532000</v>
      </c>
      <c r="G3506" s="32">
        <v>10083</v>
      </c>
      <c r="H3506" s="32">
        <v>8975</v>
      </c>
    </row>
    <row r="3507" spans="1:8" s="2" customFormat="1">
      <c r="A3507" s="6"/>
      <c r="C3507" s="8" t="s">
        <v>2235</v>
      </c>
      <c r="G3507" s="32">
        <f>G3506</f>
        <v>10083</v>
      </c>
      <c r="H3507" s="32">
        <f>H3506</f>
        <v>8975</v>
      </c>
    </row>
    <row r="3508" spans="1:8" s="2" customFormat="1">
      <c r="A3508" s="6"/>
      <c r="G3508" s="32"/>
      <c r="H3508" s="32"/>
    </row>
    <row r="3509" spans="1:8" s="2" customFormat="1">
      <c r="A3509" s="6" t="s">
        <v>2593</v>
      </c>
      <c r="B3509" s="2" t="s">
        <v>136</v>
      </c>
      <c r="G3509" s="32"/>
      <c r="H3509" s="32"/>
    </row>
    <row r="3510" spans="1:8" s="2" customFormat="1">
      <c r="A3510" s="6"/>
      <c r="G3510" s="32"/>
      <c r="H3510" s="32"/>
    </row>
    <row r="3511" spans="1:8" s="19" customFormat="1">
      <c r="A3511" s="17"/>
      <c r="C3511" s="19" t="s">
        <v>2234</v>
      </c>
      <c r="D3511" s="19">
        <v>192000</v>
      </c>
      <c r="E3511" s="19">
        <v>230310</v>
      </c>
      <c r="F3511" s="19">
        <v>710000</v>
      </c>
      <c r="G3511" s="34">
        <v>25000</v>
      </c>
      <c r="H3511" s="34">
        <v>25000</v>
      </c>
    </row>
    <row r="3512" spans="1:8" s="2" customFormat="1">
      <c r="A3512" s="6"/>
      <c r="C3512" s="8" t="s">
        <v>2235</v>
      </c>
      <c r="G3512" s="32">
        <v>25000</v>
      </c>
      <c r="H3512" s="32">
        <v>25000</v>
      </c>
    </row>
    <row r="3513" spans="1:8" s="2" customFormat="1">
      <c r="A3513" s="6"/>
      <c r="G3513" s="32"/>
      <c r="H3513" s="32"/>
    </row>
    <row r="3514" spans="1:8" s="2" customFormat="1">
      <c r="A3514" s="6" t="s">
        <v>2593</v>
      </c>
      <c r="B3514" s="2" t="s">
        <v>137</v>
      </c>
      <c r="G3514" s="32"/>
      <c r="H3514" s="32"/>
    </row>
    <row r="3515" spans="1:8" s="2" customFormat="1">
      <c r="A3515" s="6"/>
      <c r="G3515" s="32"/>
      <c r="H3515" s="32"/>
    </row>
    <row r="3516" spans="1:8" s="2" customFormat="1">
      <c r="A3516" s="5" t="s">
        <v>3005</v>
      </c>
      <c r="B3516" s="2" t="s">
        <v>774</v>
      </c>
      <c r="C3516" s="2" t="s">
        <v>2215</v>
      </c>
      <c r="D3516" s="2">
        <v>192000</v>
      </c>
      <c r="E3516" s="2">
        <v>230310</v>
      </c>
      <c r="F3516" s="2">
        <v>610110</v>
      </c>
      <c r="G3516" s="32">
        <f>50600+1417</f>
        <v>52017</v>
      </c>
      <c r="H3516" s="32">
        <f>50600+1417</f>
        <v>52017</v>
      </c>
    </row>
    <row r="3517" spans="1:8" s="2" customFormat="1">
      <c r="A3517" s="5" t="s">
        <v>3006</v>
      </c>
      <c r="B3517" s="2" t="s">
        <v>1416</v>
      </c>
      <c r="C3517" s="2" t="s">
        <v>1019</v>
      </c>
      <c r="D3517" s="2">
        <v>192000</v>
      </c>
      <c r="E3517" s="2">
        <v>230310</v>
      </c>
      <c r="F3517" s="2">
        <v>610210</v>
      </c>
      <c r="G3517" s="32">
        <f>44682+1251</f>
        <v>45933</v>
      </c>
      <c r="H3517" s="32">
        <f>44682+1251</f>
        <v>45933</v>
      </c>
    </row>
    <row r="3518" spans="1:8" s="2" customFormat="1">
      <c r="A3518" s="5" t="s">
        <v>3007</v>
      </c>
      <c r="B3518" s="2" t="s">
        <v>1417</v>
      </c>
      <c r="C3518" s="2" t="s">
        <v>2216</v>
      </c>
      <c r="D3518" s="2">
        <v>192000</v>
      </c>
      <c r="E3518" s="2">
        <v>230310</v>
      </c>
      <c r="F3518" s="2">
        <v>610210</v>
      </c>
      <c r="G3518" s="32">
        <f>32000+896</f>
        <v>32896</v>
      </c>
      <c r="H3518" s="32">
        <f>32000+896</f>
        <v>32896</v>
      </c>
    </row>
    <row r="3519" spans="1:8" s="2" customFormat="1">
      <c r="A3519" s="5" t="s">
        <v>3008</v>
      </c>
      <c r="B3519" s="2" t="s">
        <v>113</v>
      </c>
      <c r="C3519" s="2" t="s">
        <v>2691</v>
      </c>
      <c r="D3519" s="2">
        <v>192000</v>
      </c>
      <c r="E3519" s="2">
        <v>230310</v>
      </c>
      <c r="F3519" s="2">
        <v>610210</v>
      </c>
      <c r="G3519" s="32">
        <v>23000</v>
      </c>
      <c r="H3519" s="32">
        <v>23000</v>
      </c>
    </row>
    <row r="3520" spans="1:8" s="2" customFormat="1">
      <c r="A3520" s="5" t="s">
        <v>3009</v>
      </c>
      <c r="B3520" s="2" t="s">
        <v>775</v>
      </c>
      <c r="C3520" s="2" t="s">
        <v>2217</v>
      </c>
      <c r="D3520" s="2">
        <v>192000</v>
      </c>
      <c r="E3520" s="2">
        <v>230310</v>
      </c>
      <c r="F3520" s="2">
        <v>610410</v>
      </c>
      <c r="G3520" s="32">
        <f>18860+528</f>
        <v>19388</v>
      </c>
      <c r="H3520" s="32">
        <f>18860+528</f>
        <v>19388</v>
      </c>
    </row>
    <row r="3521" spans="1:8" s="2" customFormat="1">
      <c r="A3521" s="5" t="s">
        <v>3010</v>
      </c>
      <c r="B3521" s="2" t="s">
        <v>776</v>
      </c>
      <c r="C3521" s="2" t="s">
        <v>2884</v>
      </c>
      <c r="D3521" s="2">
        <v>192000</v>
      </c>
      <c r="E3521" s="2">
        <v>230310</v>
      </c>
      <c r="F3521" s="2">
        <v>610210</v>
      </c>
      <c r="G3521" s="32">
        <f>22000+616</f>
        <v>22616</v>
      </c>
      <c r="H3521" s="32">
        <f>22000+616</f>
        <v>22616</v>
      </c>
    </row>
    <row r="3522" spans="1:8" s="2" customFormat="1">
      <c r="A3522" s="5" t="s">
        <v>3011</v>
      </c>
      <c r="B3522" s="2" t="s">
        <v>1418</v>
      </c>
      <c r="C3522" s="2" t="s">
        <v>1610</v>
      </c>
      <c r="D3522" s="2">
        <v>192000</v>
      </c>
      <c r="E3522" s="2">
        <v>230310</v>
      </c>
      <c r="F3522" s="2">
        <v>610410</v>
      </c>
      <c r="G3522" s="32">
        <f>21742+609</f>
        <v>22351</v>
      </c>
      <c r="H3522" s="32">
        <f>21742+609</f>
        <v>22351</v>
      </c>
    </row>
    <row r="3523" spans="1:8" s="2" customFormat="1">
      <c r="A3523" s="5" t="s">
        <v>3012</v>
      </c>
      <c r="B3523" s="2" t="s">
        <v>1419</v>
      </c>
      <c r="C3523" s="2" t="s">
        <v>778</v>
      </c>
      <c r="D3523" s="2">
        <v>192000</v>
      </c>
      <c r="E3523" s="2">
        <v>230310</v>
      </c>
      <c r="F3523" s="2">
        <v>610410</v>
      </c>
      <c r="G3523" s="32">
        <f>19909+557</f>
        <v>20466</v>
      </c>
      <c r="H3523" s="32">
        <f>19909+557</f>
        <v>20466</v>
      </c>
    </row>
    <row r="3524" spans="1:8" s="2" customFormat="1">
      <c r="A3524" s="5" t="s">
        <v>3013</v>
      </c>
      <c r="B3524" s="2" t="s">
        <v>1420</v>
      </c>
      <c r="C3524" s="2" t="s">
        <v>778</v>
      </c>
      <c r="D3524" s="2">
        <v>192000</v>
      </c>
      <c r="E3524" s="2">
        <v>230310</v>
      </c>
      <c r="F3524" s="2">
        <v>610410</v>
      </c>
      <c r="G3524" s="32">
        <f>19909+557</f>
        <v>20466</v>
      </c>
      <c r="H3524" s="32">
        <f>19909+557</f>
        <v>20466</v>
      </c>
    </row>
    <row r="3525" spans="1:8" s="2" customFormat="1">
      <c r="A3525" s="5" t="s">
        <v>3014</v>
      </c>
      <c r="B3525" s="2" t="s">
        <v>2052</v>
      </c>
      <c r="C3525" s="2" t="s">
        <v>2691</v>
      </c>
      <c r="D3525" s="2">
        <v>192000</v>
      </c>
      <c r="E3525" s="2">
        <v>230310</v>
      </c>
      <c r="F3525" s="2">
        <v>610210</v>
      </c>
      <c r="G3525" s="32">
        <f>22500</f>
        <v>22500</v>
      </c>
      <c r="H3525" s="32">
        <v>22500</v>
      </c>
    </row>
    <row r="3526" spans="1:8" s="2" customFormat="1">
      <c r="A3526" s="5" t="s">
        <v>3015</v>
      </c>
      <c r="B3526" s="2" t="s">
        <v>1421</v>
      </c>
      <c r="C3526" s="2" t="s">
        <v>1422</v>
      </c>
      <c r="D3526" s="2">
        <v>192000</v>
      </c>
      <c r="E3526" s="2">
        <v>230310</v>
      </c>
      <c r="F3526" s="2">
        <v>610410</v>
      </c>
      <c r="G3526" s="32">
        <f>12378+347</f>
        <v>12725</v>
      </c>
      <c r="H3526" s="32">
        <f>12378+347</f>
        <v>12725</v>
      </c>
    </row>
    <row r="3527" spans="1:8" s="2" customFormat="1">
      <c r="A3527" s="5" t="s">
        <v>3016</v>
      </c>
      <c r="B3527" s="2" t="s">
        <v>1423</v>
      </c>
      <c r="C3527" s="2" t="s">
        <v>1760</v>
      </c>
      <c r="D3527" s="2">
        <v>192000</v>
      </c>
      <c r="E3527" s="2">
        <v>230310</v>
      </c>
      <c r="F3527" s="2">
        <v>610410</v>
      </c>
      <c r="G3527" s="32">
        <f>12059+338</f>
        <v>12397</v>
      </c>
      <c r="H3527" s="32">
        <f>12059+338</f>
        <v>12397</v>
      </c>
    </row>
    <row r="3528" spans="1:8" s="2" customFormat="1">
      <c r="A3528" s="5" t="s">
        <v>3017</v>
      </c>
      <c r="B3528" s="2" t="s">
        <v>1424</v>
      </c>
      <c r="C3528" s="2" t="s">
        <v>1760</v>
      </c>
      <c r="D3528" s="2">
        <v>192000</v>
      </c>
      <c r="E3528" s="2">
        <v>230310</v>
      </c>
      <c r="F3528" s="2">
        <v>610410</v>
      </c>
      <c r="G3528" s="32">
        <f>11199+314</f>
        <v>11513</v>
      </c>
      <c r="H3528" s="32">
        <f>11199+314</f>
        <v>11513</v>
      </c>
    </row>
    <row r="3529" spans="1:8" s="2" customFormat="1">
      <c r="A3529" s="5" t="s">
        <v>3018</v>
      </c>
      <c r="B3529" s="2" t="s">
        <v>1425</v>
      </c>
      <c r="C3529" s="2" t="s">
        <v>1760</v>
      </c>
      <c r="D3529" s="2">
        <v>192000</v>
      </c>
      <c r="E3529" s="2">
        <v>230310</v>
      </c>
      <c r="F3529" s="2">
        <v>610410</v>
      </c>
      <c r="G3529" s="32">
        <f>14977+419</f>
        <v>15396</v>
      </c>
      <c r="H3529" s="32">
        <f>14977+419</f>
        <v>15396</v>
      </c>
    </row>
    <row r="3530" spans="1:8" s="2" customFormat="1">
      <c r="A3530" s="5" t="s">
        <v>3019</v>
      </c>
      <c r="B3530" s="2" t="s">
        <v>865</v>
      </c>
      <c r="C3530" s="2" t="s">
        <v>1760</v>
      </c>
      <c r="D3530" s="2">
        <v>192000</v>
      </c>
      <c r="E3530" s="2">
        <v>230310</v>
      </c>
      <c r="F3530" s="2">
        <v>610410</v>
      </c>
      <c r="G3530" s="32">
        <f>12424+348</f>
        <v>12772</v>
      </c>
      <c r="H3530" s="32">
        <f>12424+348</f>
        <v>12772</v>
      </c>
    </row>
    <row r="3531" spans="1:8" s="2" customFormat="1">
      <c r="A3531" s="5" t="s">
        <v>3020</v>
      </c>
      <c r="B3531" s="2" t="s">
        <v>777</v>
      </c>
      <c r="C3531" s="2" t="s">
        <v>1769</v>
      </c>
      <c r="D3531" s="2">
        <v>192000</v>
      </c>
      <c r="E3531" s="2">
        <v>230310</v>
      </c>
      <c r="F3531" s="2">
        <v>610410</v>
      </c>
      <c r="G3531" s="32">
        <f>11055+310</f>
        <v>11365</v>
      </c>
      <c r="H3531" s="32">
        <f>11055+310</f>
        <v>11365</v>
      </c>
    </row>
    <row r="3532" spans="1:8" s="2" customFormat="1">
      <c r="A3532" s="5" t="s">
        <v>3021</v>
      </c>
      <c r="B3532" s="2" t="s">
        <v>2820</v>
      </c>
      <c r="C3532" s="2" t="s">
        <v>2691</v>
      </c>
      <c r="D3532" s="2">
        <v>192000</v>
      </c>
      <c r="E3532" s="2">
        <v>230310</v>
      </c>
      <c r="F3532" s="2">
        <v>610210</v>
      </c>
      <c r="G3532" s="32">
        <f>22500</f>
        <v>22500</v>
      </c>
      <c r="H3532" s="32">
        <v>22500</v>
      </c>
    </row>
    <row r="3533" spans="1:8" s="2" customFormat="1">
      <c r="A3533" s="6" t="s">
        <v>3022</v>
      </c>
      <c r="B3533" s="2" t="s">
        <v>2245</v>
      </c>
      <c r="C3533" s="2" t="s">
        <v>1769</v>
      </c>
      <c r="D3533" s="2">
        <v>192000</v>
      </c>
      <c r="E3533" s="2">
        <v>230310</v>
      </c>
      <c r="F3533" s="2">
        <v>610410</v>
      </c>
      <c r="G3533" s="32">
        <f t="shared" ref="G3533:H3535" si="3">11199+314</f>
        <v>11513</v>
      </c>
      <c r="H3533" s="32">
        <f t="shared" si="3"/>
        <v>11513</v>
      </c>
    </row>
    <row r="3534" spans="1:8" s="2" customFormat="1">
      <c r="A3534" s="5" t="s">
        <v>3023</v>
      </c>
      <c r="B3534" s="2" t="s">
        <v>2246</v>
      </c>
      <c r="C3534" s="2" t="s">
        <v>1769</v>
      </c>
      <c r="D3534" s="2">
        <v>192000</v>
      </c>
      <c r="E3534" s="2">
        <v>230310</v>
      </c>
      <c r="F3534" s="2">
        <v>610410</v>
      </c>
      <c r="G3534" s="32">
        <f t="shared" si="3"/>
        <v>11513</v>
      </c>
      <c r="H3534" s="32">
        <f t="shared" si="3"/>
        <v>11513</v>
      </c>
    </row>
    <row r="3535" spans="1:8" s="2" customFormat="1">
      <c r="A3535" s="5" t="s">
        <v>3024</v>
      </c>
      <c r="B3535" s="2" t="s">
        <v>154</v>
      </c>
      <c r="C3535" s="2" t="s">
        <v>1769</v>
      </c>
      <c r="D3535" s="2">
        <v>192000</v>
      </c>
      <c r="E3535" s="2">
        <v>230310</v>
      </c>
      <c r="F3535" s="2">
        <v>610410</v>
      </c>
      <c r="G3535" s="32">
        <f t="shared" si="3"/>
        <v>11513</v>
      </c>
      <c r="H3535" s="32">
        <f t="shared" si="3"/>
        <v>11513</v>
      </c>
    </row>
    <row r="3536" spans="1:8" s="2" customFormat="1">
      <c r="A3536" s="5" t="s">
        <v>2247</v>
      </c>
      <c r="C3536" s="2" t="s">
        <v>1611</v>
      </c>
      <c r="D3536" s="2">
        <v>192000</v>
      </c>
      <c r="E3536" s="2">
        <v>230310</v>
      </c>
      <c r="F3536" s="2">
        <v>620000</v>
      </c>
      <c r="G3536" s="32"/>
      <c r="H3536" s="32"/>
    </row>
    <row r="3537" spans="1:8" s="2" customFormat="1">
      <c r="A3537" s="5" t="s">
        <v>2248</v>
      </c>
      <c r="C3537" s="2" t="s">
        <v>2950</v>
      </c>
      <c r="D3537" s="2">
        <v>192000</v>
      </c>
      <c r="E3537" s="2">
        <v>230310</v>
      </c>
      <c r="F3537" s="2">
        <v>610000</v>
      </c>
      <c r="G3537" s="36"/>
      <c r="H3537" s="36"/>
    </row>
    <row r="3538" spans="1:8" s="2" customFormat="1">
      <c r="A3538" s="5"/>
      <c r="C3538" s="2" t="s">
        <v>2249</v>
      </c>
      <c r="D3538" s="2">
        <v>192000</v>
      </c>
      <c r="E3538" s="2">
        <v>230310</v>
      </c>
      <c r="F3538" s="2">
        <v>610910</v>
      </c>
      <c r="G3538" s="32">
        <v>1300</v>
      </c>
      <c r="H3538" s="32">
        <v>1300</v>
      </c>
    </row>
    <row r="3539" spans="1:8" s="2" customFormat="1">
      <c r="A3539" s="5"/>
      <c r="C3539" s="2" t="s">
        <v>2951</v>
      </c>
      <c r="D3539" s="2">
        <v>192000</v>
      </c>
      <c r="E3539" s="2">
        <v>230310</v>
      </c>
      <c r="F3539" s="2">
        <v>630000</v>
      </c>
      <c r="G3539" s="32">
        <f>SUM(G3516:G3538)*0.14</f>
        <v>58259.600000000006</v>
      </c>
      <c r="H3539" s="32">
        <f>SUM(H3516:H3538)*0.14</f>
        <v>58259.600000000006</v>
      </c>
    </row>
    <row r="3540" spans="1:8" s="2" customFormat="1">
      <c r="A3540" s="5"/>
      <c r="C3540" s="8" t="s">
        <v>1129</v>
      </c>
      <c r="G3540" s="32">
        <f>SUM(G3516:G3539)</f>
        <v>474399.6</v>
      </c>
      <c r="H3540" s="32">
        <f>SUM(H3516:H3539)</f>
        <v>474399.6</v>
      </c>
    </row>
    <row r="3541" spans="1:8" s="2" customFormat="1">
      <c r="A3541" s="5"/>
      <c r="C3541" s="8"/>
      <c r="G3541" s="32"/>
      <c r="H3541" s="32"/>
    </row>
    <row r="3542" spans="1:8" s="2" customFormat="1">
      <c r="A3542" s="5"/>
      <c r="C3542" s="8"/>
      <c r="G3542" s="32"/>
      <c r="H3542" s="32"/>
    </row>
    <row r="3543" spans="1:8" s="2" customFormat="1">
      <c r="A3543" s="6" t="s">
        <v>2593</v>
      </c>
      <c r="B3543" s="2" t="s">
        <v>137</v>
      </c>
      <c r="C3543" s="8"/>
      <c r="G3543" s="32"/>
      <c r="H3543" s="32"/>
    </row>
    <row r="3544" spans="1:8" s="2" customFormat="1">
      <c r="A3544" s="20"/>
      <c r="C3544" s="8"/>
      <c r="G3544" s="32"/>
      <c r="H3544" s="32"/>
    </row>
    <row r="3545" spans="1:8" s="2" customFormat="1">
      <c r="A3545" s="20"/>
      <c r="C3545" s="2" t="s">
        <v>2234</v>
      </c>
      <c r="D3545" s="2">
        <v>192000</v>
      </c>
      <c r="E3545" s="2">
        <v>230310</v>
      </c>
      <c r="F3545" s="2">
        <v>710000</v>
      </c>
      <c r="G3545" s="32">
        <v>295000</v>
      </c>
      <c r="H3545" s="32">
        <v>295000</v>
      </c>
    </row>
    <row r="3546" spans="1:8" s="2" customFormat="1">
      <c r="A3546" s="20"/>
      <c r="C3546" s="2" t="s">
        <v>267</v>
      </c>
      <c r="D3546" s="2">
        <v>192000</v>
      </c>
      <c r="E3546" s="2">
        <v>230310</v>
      </c>
      <c r="F3546" s="2">
        <v>721510</v>
      </c>
      <c r="G3546" s="32">
        <v>307538</v>
      </c>
      <c r="H3546" s="32">
        <v>307538</v>
      </c>
    </row>
    <row r="3547" spans="1:8" s="2" customFormat="1">
      <c r="A3547" s="20"/>
      <c r="C3547" s="2" t="s">
        <v>269</v>
      </c>
      <c r="D3547" s="2">
        <v>192000</v>
      </c>
      <c r="E3547" s="2">
        <v>230310</v>
      </c>
      <c r="F3547" s="2">
        <v>721530</v>
      </c>
      <c r="G3547" s="32">
        <v>7886</v>
      </c>
      <c r="H3547" s="32">
        <v>7886</v>
      </c>
    </row>
    <row r="3548" spans="1:8" s="2" customFormat="1">
      <c r="A3548" s="20"/>
      <c r="C3548" s="2" t="s">
        <v>268</v>
      </c>
      <c r="D3548" s="2">
        <v>192000</v>
      </c>
      <c r="E3548" s="2">
        <v>230310</v>
      </c>
      <c r="F3548" s="2">
        <v>721520</v>
      </c>
      <c r="G3548" s="32">
        <v>78856</v>
      </c>
      <c r="H3548" s="32">
        <v>78856</v>
      </c>
    </row>
    <row r="3549" spans="1:8" s="2" customFormat="1">
      <c r="A3549" s="20"/>
      <c r="C3549" s="8" t="s">
        <v>2235</v>
      </c>
      <c r="G3549" s="32">
        <f>SUM(G3540:G3548)</f>
        <v>1163679.6000000001</v>
      </c>
      <c r="H3549" s="32">
        <f>SUM(H3540:H3548)</f>
        <v>1163679.6000000001</v>
      </c>
    </row>
    <row r="3550" spans="1:8" s="2" customFormat="1">
      <c r="A3550" s="20"/>
      <c r="C3550" s="8"/>
      <c r="G3550" s="32"/>
      <c r="H3550" s="32"/>
    </row>
    <row r="3551" spans="1:8" s="2" customFormat="1">
      <c r="A3551" s="6" t="s">
        <v>3028</v>
      </c>
      <c r="B3551" s="2" t="s">
        <v>1576</v>
      </c>
      <c r="G3551" s="32"/>
      <c r="H3551" s="32"/>
    </row>
    <row r="3552" spans="1:8" s="2" customFormat="1">
      <c r="A3552" s="5"/>
      <c r="G3552" s="32"/>
      <c r="H3552" s="32"/>
    </row>
    <row r="3553" spans="1:8" s="2" customFormat="1">
      <c r="A3553" s="5" t="s">
        <v>1750</v>
      </c>
      <c r="B3553" s="2" t="s">
        <v>784</v>
      </c>
      <c r="C3553" s="2" t="s">
        <v>2213</v>
      </c>
      <c r="D3553" s="2">
        <v>193000</v>
      </c>
      <c r="E3553" s="2">
        <v>450100</v>
      </c>
      <c r="F3553" s="2">
        <v>610210</v>
      </c>
      <c r="G3553" s="32">
        <f>44140+1324</f>
        <v>45464</v>
      </c>
      <c r="H3553" s="32">
        <f>44140+1324</f>
        <v>45464</v>
      </c>
    </row>
    <row r="3554" spans="1:8" s="2" customFormat="1">
      <c r="A3554" s="5" t="s">
        <v>1751</v>
      </c>
      <c r="B3554" s="2" t="s">
        <v>785</v>
      </c>
      <c r="C3554" s="2" t="s">
        <v>2772</v>
      </c>
      <c r="D3554" s="2">
        <v>193000</v>
      </c>
      <c r="E3554" s="2">
        <v>450100</v>
      </c>
      <c r="F3554" s="2">
        <v>610410</v>
      </c>
      <c r="G3554" s="32">
        <f>27765+777</f>
        <v>28542</v>
      </c>
      <c r="H3554" s="32">
        <f>27765+777</f>
        <v>28542</v>
      </c>
    </row>
    <row r="3555" spans="1:8" s="2" customFormat="1">
      <c r="A3555" s="5" t="s">
        <v>1752</v>
      </c>
      <c r="B3555" s="2" t="s">
        <v>2773</v>
      </c>
      <c r="C3555" s="2" t="s">
        <v>2774</v>
      </c>
      <c r="D3555" s="2">
        <v>193000</v>
      </c>
      <c r="E3555" s="2">
        <v>450100</v>
      </c>
      <c r="F3555" s="2">
        <v>610410</v>
      </c>
      <c r="G3555" s="32">
        <f>19105+535</f>
        <v>19640</v>
      </c>
      <c r="H3555" s="32">
        <f>19105+535</f>
        <v>19640</v>
      </c>
    </row>
    <row r="3556" spans="1:8" s="2" customFormat="1">
      <c r="A3556" s="5" t="s">
        <v>1753</v>
      </c>
      <c r="B3556" s="2" t="s">
        <v>2775</v>
      </c>
      <c r="C3556" s="2" t="s">
        <v>2774</v>
      </c>
      <c r="D3556" s="2">
        <v>193000</v>
      </c>
      <c r="E3556" s="2">
        <v>450100</v>
      </c>
      <c r="F3556" s="2">
        <v>610410</v>
      </c>
      <c r="G3556" s="32">
        <f>20830+583</f>
        <v>21413</v>
      </c>
      <c r="H3556" s="32">
        <f>20830+583</f>
        <v>21413</v>
      </c>
    </row>
    <row r="3557" spans="1:8" s="2" customFormat="1">
      <c r="A3557" s="5" t="s">
        <v>3000</v>
      </c>
      <c r="B3557" s="2" t="s">
        <v>2776</v>
      </c>
      <c r="C3557" s="2" t="s">
        <v>2777</v>
      </c>
      <c r="D3557" s="2">
        <v>193000</v>
      </c>
      <c r="E3557" s="2">
        <v>450100</v>
      </c>
      <c r="F3557" s="2">
        <v>610410</v>
      </c>
      <c r="G3557" s="32">
        <f>19105+535</f>
        <v>19640</v>
      </c>
      <c r="H3557" s="32">
        <f>19105+535</f>
        <v>19640</v>
      </c>
    </row>
    <row r="3558" spans="1:8" s="2" customFormat="1">
      <c r="A3558" s="5" t="s">
        <v>3001</v>
      </c>
      <c r="B3558" s="2" t="s">
        <v>2778</v>
      </c>
      <c r="C3558" s="2" t="s">
        <v>2774</v>
      </c>
      <c r="D3558" s="2">
        <v>193000</v>
      </c>
      <c r="E3558" s="2">
        <v>450100</v>
      </c>
      <c r="F3558" s="2">
        <v>610410</v>
      </c>
      <c r="G3558" s="32">
        <f>19105+535</f>
        <v>19640</v>
      </c>
      <c r="H3558" s="32">
        <f>19105+535</f>
        <v>19640</v>
      </c>
    </row>
    <row r="3559" spans="1:8" s="2" customFormat="1">
      <c r="A3559" s="5" t="s">
        <v>3002</v>
      </c>
      <c r="B3559" s="2" t="s">
        <v>2779</v>
      </c>
      <c r="C3559" s="2" t="s">
        <v>2780</v>
      </c>
      <c r="D3559" s="2">
        <v>193000</v>
      </c>
      <c r="E3559" s="2">
        <v>450100</v>
      </c>
      <c r="F3559" s="2">
        <v>610410</v>
      </c>
      <c r="G3559" s="32">
        <f>15799+442</f>
        <v>16241</v>
      </c>
      <c r="H3559" s="32">
        <f>15799+442</f>
        <v>16241</v>
      </c>
    </row>
    <row r="3560" spans="1:8" s="2" customFormat="1">
      <c r="A3560" s="5" t="s">
        <v>3003</v>
      </c>
      <c r="B3560" s="2" t="s">
        <v>2781</v>
      </c>
      <c r="C3560" s="2" t="s">
        <v>2214</v>
      </c>
      <c r="D3560" s="2">
        <v>193000</v>
      </c>
      <c r="E3560" s="2">
        <v>450100</v>
      </c>
      <c r="F3560" s="2">
        <v>610410</v>
      </c>
      <c r="G3560" s="32">
        <f>14449+405</f>
        <v>14854</v>
      </c>
      <c r="H3560" s="32">
        <f>14449+405</f>
        <v>14854</v>
      </c>
    </row>
    <row r="3561" spans="1:8" s="2" customFormat="1">
      <c r="A3561" s="5" t="s">
        <v>3004</v>
      </c>
      <c r="B3561" s="2" t="s">
        <v>2782</v>
      </c>
      <c r="C3561" s="2" t="s">
        <v>1023</v>
      </c>
      <c r="D3561" s="2">
        <v>193000</v>
      </c>
      <c r="E3561" s="2">
        <v>450100</v>
      </c>
      <c r="F3561" s="2">
        <v>610410</v>
      </c>
      <c r="G3561" s="32">
        <f>21373+598</f>
        <v>21971</v>
      </c>
      <c r="H3561" s="32">
        <f>21373+598</f>
        <v>21971</v>
      </c>
    </row>
    <row r="3562" spans="1:8" s="2" customFormat="1">
      <c r="A3562" s="5" t="s">
        <v>829</v>
      </c>
      <c r="B3562" s="2" t="s">
        <v>1637</v>
      </c>
      <c r="C3562" s="2" t="s">
        <v>1609</v>
      </c>
      <c r="D3562" s="2">
        <v>193000</v>
      </c>
      <c r="E3562" s="2">
        <v>450100</v>
      </c>
      <c r="F3562" s="2">
        <v>610410</v>
      </c>
      <c r="G3562" s="32">
        <f>14186+397</f>
        <v>14583</v>
      </c>
      <c r="H3562" s="32">
        <f>14186+397</f>
        <v>14583</v>
      </c>
    </row>
    <row r="3563" spans="1:8" s="2" customFormat="1">
      <c r="A3563" s="5"/>
      <c r="D3563" s="2">
        <v>110000</v>
      </c>
      <c r="E3563" s="2">
        <v>410000</v>
      </c>
      <c r="F3563" s="2">
        <v>610410</v>
      </c>
      <c r="G3563" s="32">
        <f>1612+45</f>
        <v>1657</v>
      </c>
      <c r="H3563" s="32"/>
    </row>
    <row r="3564" spans="1:8" s="2" customFormat="1">
      <c r="A3564" s="5"/>
      <c r="E3564" s="2" t="s">
        <v>2880</v>
      </c>
      <c r="G3564" s="32">
        <f>G3562+G3563</f>
        <v>16240</v>
      </c>
      <c r="H3564" s="32">
        <f>H3562+H3563</f>
        <v>14583</v>
      </c>
    </row>
    <row r="3565" spans="1:8" s="2" customFormat="1">
      <c r="A3565" s="6" t="s">
        <v>2357</v>
      </c>
      <c r="B3565" s="2" t="s">
        <v>2093</v>
      </c>
      <c r="C3565" s="2" t="s">
        <v>1608</v>
      </c>
      <c r="D3565" s="2">
        <v>193000</v>
      </c>
      <c r="E3565" s="2">
        <v>450100</v>
      </c>
      <c r="F3565" s="2">
        <v>610210</v>
      </c>
      <c r="G3565" s="32">
        <v>15617</v>
      </c>
      <c r="H3565" s="32">
        <v>15617</v>
      </c>
    </row>
    <row r="3566" spans="1:8" s="2" customFormat="1">
      <c r="A3566" s="5"/>
      <c r="D3566" s="2">
        <v>110000</v>
      </c>
      <c r="E3566" s="2">
        <v>660100</v>
      </c>
      <c r="F3566" s="2">
        <v>610210</v>
      </c>
      <c r="G3566" s="32">
        <v>26357</v>
      </c>
      <c r="H3566" s="32"/>
    </row>
    <row r="3567" spans="1:8" s="2" customFormat="1">
      <c r="A3567" s="5"/>
      <c r="E3567" s="2" t="s">
        <v>2880</v>
      </c>
      <c r="G3567" s="32">
        <f>SUM(G3565:G3566)</f>
        <v>41974</v>
      </c>
      <c r="H3567" s="32">
        <f>SUM(H3565:H3566)</f>
        <v>15617</v>
      </c>
    </row>
    <row r="3568" spans="1:8" s="2" customFormat="1">
      <c r="A3568" s="5" t="s">
        <v>2783</v>
      </c>
      <c r="C3568" s="2" t="s">
        <v>2950</v>
      </c>
      <c r="D3568" s="2">
        <v>193000</v>
      </c>
      <c r="E3568" s="2">
        <v>450100</v>
      </c>
      <c r="F3568" s="2">
        <v>610000</v>
      </c>
      <c r="G3568" s="37">
        <f>47500</f>
        <v>47500</v>
      </c>
      <c r="H3568" s="37">
        <f>47500</f>
        <v>47500</v>
      </c>
    </row>
    <row r="3569" spans="1:8" s="2" customFormat="1">
      <c r="A3569" s="5"/>
      <c r="C3569" s="2" t="s">
        <v>115</v>
      </c>
      <c r="D3569" s="2">
        <v>193000</v>
      </c>
      <c r="E3569" s="2">
        <v>450100</v>
      </c>
      <c r="F3569" s="2">
        <v>610910</v>
      </c>
      <c r="G3569" s="32">
        <v>1200</v>
      </c>
      <c r="H3569" s="32">
        <v>1200</v>
      </c>
    </row>
    <row r="3570" spans="1:8" s="2" customFormat="1">
      <c r="A3570" s="5"/>
      <c r="C3570" s="2" t="s">
        <v>2951</v>
      </c>
      <c r="D3570" s="2">
        <v>193000</v>
      </c>
      <c r="E3570" s="2">
        <v>450100</v>
      </c>
      <c r="F3570" s="2">
        <v>630000</v>
      </c>
      <c r="G3570" s="32">
        <f>(SUM(G3553:G3569)-G3564-G3567)*0.23</f>
        <v>72293.37000000001</v>
      </c>
      <c r="H3570" s="32">
        <f>(SUM(H3553:H3569)-H3564-H3567)*0.23</f>
        <v>65850.150000000009</v>
      </c>
    </row>
    <row r="3571" spans="1:8" s="2" customFormat="1">
      <c r="A3571" s="5"/>
      <c r="C3571" s="8" t="s">
        <v>1129</v>
      </c>
      <c r="G3571" s="32">
        <f>SUM(G3553:G3570)-G3564-G3567</f>
        <v>386612.37</v>
      </c>
      <c r="H3571" s="32">
        <f>SUM(H3553:H3570)-H3564-H3567</f>
        <v>352155.15</v>
      </c>
    </row>
    <row r="3572" spans="1:8" s="2" customFormat="1">
      <c r="A3572" s="5"/>
      <c r="C3572" s="2" t="s">
        <v>2234</v>
      </c>
      <c r="D3572" s="2">
        <v>193000</v>
      </c>
      <c r="E3572" s="2">
        <v>450100</v>
      </c>
      <c r="F3572" s="2">
        <v>710000</v>
      </c>
      <c r="G3572" s="32">
        <v>258000</v>
      </c>
      <c r="H3572" s="32">
        <v>258000</v>
      </c>
    </row>
    <row r="3573" spans="1:8" s="2" customFormat="1">
      <c r="A3573" s="5"/>
      <c r="C3573" s="2" t="s">
        <v>1406</v>
      </c>
      <c r="D3573" s="2">
        <v>193000</v>
      </c>
      <c r="E3573" s="2">
        <v>450100</v>
      </c>
      <c r="F3573" s="2">
        <v>710000</v>
      </c>
      <c r="G3573" s="32">
        <v>269000</v>
      </c>
      <c r="H3573" s="32">
        <v>269000</v>
      </c>
    </row>
    <row r="3574" spans="1:8" s="2" customFormat="1">
      <c r="A3574" s="5"/>
      <c r="C3574" s="8" t="s">
        <v>2235</v>
      </c>
      <c r="G3574" s="32">
        <f>SUM(G3571:G3573)</f>
        <v>913612.37</v>
      </c>
      <c r="H3574" s="32">
        <f>SUM(H3571:H3573)</f>
        <v>879155.15</v>
      </c>
    </row>
    <row r="3575" spans="1:8" s="2" customFormat="1">
      <c r="A3575" s="6"/>
      <c r="G3575" s="32"/>
      <c r="H3575" s="32"/>
    </row>
    <row r="3576" spans="1:8" s="2" customFormat="1">
      <c r="A3576" s="6" t="s">
        <v>2591</v>
      </c>
      <c r="B3576" s="2" t="s">
        <v>1395</v>
      </c>
      <c r="G3576" s="32"/>
      <c r="H3576" s="32"/>
    </row>
    <row r="3577" spans="1:8" s="2" customFormat="1">
      <c r="A3577" s="5"/>
      <c r="G3577" s="32"/>
      <c r="H3577" s="32"/>
    </row>
    <row r="3578" spans="1:8" s="2" customFormat="1">
      <c r="A3578" s="5" t="s">
        <v>1745</v>
      </c>
      <c r="B3578" s="2" t="s">
        <v>1568</v>
      </c>
      <c r="C3578" s="2" t="s">
        <v>998</v>
      </c>
      <c r="D3578" s="2">
        <v>194000</v>
      </c>
      <c r="E3578" s="2">
        <v>230510</v>
      </c>
      <c r="F3578" s="2">
        <v>610410</v>
      </c>
      <c r="G3578" s="32">
        <f>10511+294</f>
        <v>10805</v>
      </c>
      <c r="H3578" s="32">
        <f>10511+294</f>
        <v>10805</v>
      </c>
    </row>
    <row r="3579" spans="1:8" s="2" customFormat="1">
      <c r="A3579" s="5"/>
      <c r="D3579" s="2">
        <v>194000</v>
      </c>
      <c r="E3579" s="2">
        <v>230520</v>
      </c>
      <c r="F3579" s="2">
        <v>610410</v>
      </c>
      <c r="G3579" s="32">
        <f>15764+441</f>
        <v>16205</v>
      </c>
      <c r="H3579" s="32">
        <v>0</v>
      </c>
    </row>
    <row r="3580" spans="1:8" s="2" customFormat="1">
      <c r="A3580" s="5"/>
      <c r="E3580" s="2" t="s">
        <v>2880</v>
      </c>
      <c r="G3580" s="32">
        <f>G3578+G3579</f>
        <v>27010</v>
      </c>
      <c r="H3580" s="32">
        <f>H3578+H3579</f>
        <v>10805</v>
      </c>
    </row>
    <row r="3581" spans="1:8" s="2" customFormat="1">
      <c r="A3581" s="5" t="s">
        <v>1569</v>
      </c>
      <c r="C3581" s="2" t="s">
        <v>2950</v>
      </c>
      <c r="D3581" s="2">
        <v>194000</v>
      </c>
      <c r="E3581" s="2">
        <v>230510</v>
      </c>
      <c r="F3581" s="2">
        <v>610000</v>
      </c>
      <c r="G3581" s="32"/>
      <c r="H3581" s="32"/>
    </row>
    <row r="3582" spans="1:8" s="2" customFormat="1">
      <c r="A3582" s="5"/>
      <c r="C3582" s="2" t="s">
        <v>2951</v>
      </c>
      <c r="D3582" s="2">
        <v>194000</v>
      </c>
      <c r="E3582" s="2">
        <v>230510</v>
      </c>
      <c r="F3582" s="2">
        <v>630000</v>
      </c>
      <c r="G3582" s="32">
        <f>(SUM(G3578:G3581)-G3580)*0.2</f>
        <v>5402</v>
      </c>
      <c r="H3582" s="32">
        <f>(SUM(H3578:H3581)-H3580)*0.2</f>
        <v>2161</v>
      </c>
    </row>
    <row r="3583" spans="1:8" s="2" customFormat="1">
      <c r="A3583" s="5"/>
      <c r="C3583" s="8" t="s">
        <v>1129</v>
      </c>
      <c r="G3583" s="32">
        <f>G3580+G3582</f>
        <v>32412</v>
      </c>
      <c r="H3583" s="32">
        <f>H3580+H3582</f>
        <v>12966</v>
      </c>
    </row>
    <row r="3584" spans="1:8" s="2" customFormat="1">
      <c r="A3584" s="5"/>
      <c r="C3584" s="2" t="s">
        <v>2234</v>
      </c>
      <c r="D3584" s="2">
        <v>194000</v>
      </c>
      <c r="E3584" s="2">
        <v>230510</v>
      </c>
      <c r="F3584" s="2">
        <v>710000</v>
      </c>
      <c r="G3584" s="32">
        <v>40700</v>
      </c>
      <c r="H3584" s="32">
        <v>40700</v>
      </c>
    </row>
    <row r="3585" spans="1:8" s="2" customFormat="1">
      <c r="A3585" s="5"/>
      <c r="C3585" s="2" t="s">
        <v>267</v>
      </c>
      <c r="D3585" s="2">
        <v>194000</v>
      </c>
      <c r="E3585" s="2">
        <v>230510</v>
      </c>
      <c r="F3585" s="2">
        <v>721510</v>
      </c>
      <c r="G3585" s="32">
        <v>34468</v>
      </c>
      <c r="H3585" s="32">
        <v>34468</v>
      </c>
    </row>
    <row r="3586" spans="1:8" s="2" customFormat="1">
      <c r="A3586" s="5"/>
      <c r="C3586" s="2" t="s">
        <v>269</v>
      </c>
      <c r="D3586" s="2">
        <v>194000</v>
      </c>
      <c r="E3586" s="2">
        <v>230510</v>
      </c>
      <c r="F3586" s="2">
        <v>721530</v>
      </c>
      <c r="G3586" s="32">
        <v>6892</v>
      </c>
      <c r="H3586" s="32">
        <v>6892</v>
      </c>
    </row>
    <row r="3587" spans="1:8" s="2" customFormat="1">
      <c r="A3587" s="5"/>
      <c r="C3587" s="2" t="s">
        <v>268</v>
      </c>
      <c r="D3587" s="2">
        <v>194000</v>
      </c>
      <c r="E3587" s="2">
        <v>230510</v>
      </c>
      <c r="F3587" s="2">
        <v>721520</v>
      </c>
      <c r="G3587" s="32">
        <v>1723</v>
      </c>
      <c r="H3587" s="32">
        <v>1723</v>
      </c>
    </row>
    <row r="3588" spans="1:8" s="2" customFormat="1">
      <c r="A3588" s="5"/>
      <c r="C3588" s="8" t="s">
        <v>2235</v>
      </c>
      <c r="G3588" s="32">
        <f>SUM(G3583:G3587)</f>
        <v>116195</v>
      </c>
      <c r="H3588" s="32">
        <f>SUM(H3583:H3587)</f>
        <v>96749</v>
      </c>
    </row>
    <row r="3589" spans="1:8" s="2" customFormat="1">
      <c r="A3589" s="5"/>
      <c r="G3589" s="32"/>
      <c r="H3589" s="32"/>
    </row>
    <row r="3590" spans="1:8" s="2" customFormat="1">
      <c r="A3590" s="6" t="s">
        <v>2592</v>
      </c>
      <c r="B3590" s="2" t="s">
        <v>1570</v>
      </c>
      <c r="G3590" s="32"/>
      <c r="H3590" s="32"/>
    </row>
    <row r="3591" spans="1:8" s="2" customFormat="1">
      <c r="A3591" s="5"/>
      <c r="G3591" s="32"/>
      <c r="H3591" s="32"/>
    </row>
    <row r="3592" spans="1:8" s="2" customFormat="1">
      <c r="A3592" s="5" t="s">
        <v>1745</v>
      </c>
      <c r="B3592" s="2" t="s">
        <v>1568</v>
      </c>
      <c r="C3592" s="2" t="s">
        <v>998</v>
      </c>
      <c r="D3592" s="2">
        <v>194000</v>
      </c>
      <c r="E3592" s="2">
        <v>230520</v>
      </c>
      <c r="F3592" s="2">
        <v>610410</v>
      </c>
      <c r="G3592" s="32">
        <f>15764+441</f>
        <v>16205</v>
      </c>
      <c r="H3592" s="32">
        <f>15764+441</f>
        <v>16205</v>
      </c>
    </row>
    <row r="3593" spans="1:8" s="2" customFormat="1">
      <c r="A3593" s="5"/>
      <c r="D3593" s="2">
        <v>194000</v>
      </c>
      <c r="E3593" s="2">
        <v>230510</v>
      </c>
      <c r="F3593" s="2">
        <v>610410</v>
      </c>
      <c r="G3593" s="32">
        <f>10511+294</f>
        <v>10805</v>
      </c>
      <c r="H3593" s="32"/>
    </row>
    <row r="3594" spans="1:8" s="2" customFormat="1">
      <c r="A3594" s="5"/>
      <c r="E3594" s="2" t="s">
        <v>2880</v>
      </c>
      <c r="G3594" s="32">
        <f>G3592+G3593</f>
        <v>27010</v>
      </c>
      <c r="H3594" s="32">
        <f>H3592+H3593</f>
        <v>16205</v>
      </c>
    </row>
    <row r="3595" spans="1:8" s="2" customFormat="1">
      <c r="A3595" s="5" t="s">
        <v>1746</v>
      </c>
      <c r="B3595" s="2" t="s">
        <v>2854</v>
      </c>
      <c r="C3595" s="2" t="s">
        <v>1019</v>
      </c>
      <c r="D3595" s="2">
        <v>194000</v>
      </c>
      <c r="E3595" s="2">
        <v>230520</v>
      </c>
      <c r="F3595" s="2">
        <v>610210</v>
      </c>
      <c r="G3595" s="32">
        <f>20000+560</f>
        <v>20560</v>
      </c>
      <c r="H3595" s="32">
        <f>20000+560</f>
        <v>20560</v>
      </c>
    </row>
    <row r="3596" spans="1:8" s="2" customFormat="1">
      <c r="A3596" s="5" t="s">
        <v>1747</v>
      </c>
      <c r="B3596" s="2" t="s">
        <v>1571</v>
      </c>
      <c r="C3596" s="2" t="s">
        <v>1769</v>
      </c>
      <c r="D3596" s="2">
        <v>194000</v>
      </c>
      <c r="E3596" s="2">
        <v>230520</v>
      </c>
      <c r="F3596" s="2">
        <v>610410</v>
      </c>
      <c r="G3596" s="32">
        <f>11199+314</f>
        <v>11513</v>
      </c>
      <c r="H3596" s="32">
        <f>11199+314</f>
        <v>11513</v>
      </c>
    </row>
    <row r="3597" spans="1:8" s="2" customFormat="1">
      <c r="A3597" s="5" t="s">
        <v>1748</v>
      </c>
      <c r="B3597" s="2" t="s">
        <v>1572</v>
      </c>
      <c r="C3597" s="2" t="s">
        <v>1422</v>
      </c>
      <c r="D3597" s="2">
        <v>194000</v>
      </c>
      <c r="E3597" s="2">
        <v>230520</v>
      </c>
      <c r="F3597" s="2">
        <v>610410</v>
      </c>
      <c r="G3597" s="32">
        <f>11871+332</f>
        <v>12203</v>
      </c>
      <c r="H3597" s="32">
        <f>11871+332</f>
        <v>12203</v>
      </c>
    </row>
    <row r="3598" spans="1:8" s="2" customFormat="1">
      <c r="A3598" s="5" t="s">
        <v>1749</v>
      </c>
      <c r="B3598" s="2" t="s">
        <v>2860</v>
      </c>
      <c r="C3598" s="2" t="s">
        <v>233</v>
      </c>
      <c r="D3598" s="2">
        <v>194000</v>
      </c>
      <c r="E3598" s="2">
        <v>230520</v>
      </c>
      <c r="F3598" s="2">
        <v>610410</v>
      </c>
      <c r="G3598" s="32">
        <f>12913+362</f>
        <v>13275</v>
      </c>
      <c r="H3598" s="32">
        <f>12913+362</f>
        <v>13275</v>
      </c>
    </row>
    <row r="3599" spans="1:8" s="2" customFormat="1">
      <c r="A3599" s="5" t="s">
        <v>1573</v>
      </c>
      <c r="C3599" s="2" t="s">
        <v>1574</v>
      </c>
      <c r="D3599" s="2">
        <v>194000</v>
      </c>
      <c r="E3599" s="2">
        <v>230520</v>
      </c>
      <c r="F3599" s="2">
        <v>620000</v>
      </c>
      <c r="G3599" s="32">
        <v>30000</v>
      </c>
      <c r="H3599" s="32">
        <v>30000</v>
      </c>
    </row>
    <row r="3600" spans="1:8" s="2" customFormat="1">
      <c r="A3600" s="5" t="s">
        <v>1575</v>
      </c>
      <c r="C3600" s="2" t="s">
        <v>2950</v>
      </c>
      <c r="D3600" s="2">
        <v>194000</v>
      </c>
      <c r="E3600" s="2">
        <v>230520</v>
      </c>
      <c r="F3600" s="2">
        <v>610000</v>
      </c>
      <c r="G3600" s="32"/>
      <c r="H3600" s="32"/>
    </row>
    <row r="3601" spans="1:8" s="2" customFormat="1">
      <c r="A3601" s="5"/>
      <c r="C3601" s="2" t="s">
        <v>2951</v>
      </c>
      <c r="D3601" s="2">
        <v>194000</v>
      </c>
      <c r="E3601" s="2">
        <v>230520</v>
      </c>
      <c r="F3601" s="2">
        <v>630000</v>
      </c>
      <c r="G3601" s="32">
        <f>(SUM(G3592:G3600)-G3594)*0.17+0.5</f>
        <v>19475.870000000003</v>
      </c>
      <c r="H3601" s="32">
        <f>(SUM(H3592:H3600)-H3594)*0.17+0.5-15562</f>
        <v>2077.0200000000004</v>
      </c>
    </row>
    <row r="3602" spans="1:8" s="2" customFormat="1">
      <c r="A3602" s="5"/>
      <c r="C3602" s="8" t="s">
        <v>1129</v>
      </c>
      <c r="G3602" s="32">
        <f>SUM(G3594:G3601)</f>
        <v>134036.87</v>
      </c>
      <c r="H3602" s="32">
        <f>SUM(H3594:H3601)</f>
        <v>105833.02</v>
      </c>
    </row>
    <row r="3603" spans="1:8" s="2" customFormat="1">
      <c r="A3603" s="5"/>
      <c r="C3603" s="2" t="s">
        <v>2234</v>
      </c>
      <c r="D3603" s="2">
        <v>194000</v>
      </c>
      <c r="E3603" s="2">
        <v>230520</v>
      </c>
      <c r="F3603" s="2">
        <v>710000</v>
      </c>
      <c r="G3603" s="32">
        <v>122451</v>
      </c>
      <c r="H3603" s="32">
        <v>122451</v>
      </c>
    </row>
    <row r="3604" spans="1:8" s="2" customFormat="1">
      <c r="A3604" s="5"/>
      <c r="C3604" s="2" t="s">
        <v>267</v>
      </c>
      <c r="D3604" s="2">
        <v>194000</v>
      </c>
      <c r="E3604" s="2">
        <v>230520</v>
      </c>
      <c r="F3604" s="2">
        <v>721510</v>
      </c>
      <c r="G3604" s="32">
        <v>86505</v>
      </c>
      <c r="H3604" s="32">
        <v>86505</v>
      </c>
    </row>
    <row r="3605" spans="1:8" s="2" customFormat="1">
      <c r="A3605" s="5"/>
      <c r="C3605" s="2" t="s">
        <v>269</v>
      </c>
      <c r="D3605" s="2">
        <v>194000</v>
      </c>
      <c r="E3605" s="2">
        <v>230520</v>
      </c>
      <c r="F3605" s="2">
        <v>721530</v>
      </c>
      <c r="G3605" s="32">
        <v>14800</v>
      </c>
      <c r="H3605" s="32">
        <v>14800</v>
      </c>
    </row>
    <row r="3606" spans="1:8" s="2" customFormat="1">
      <c r="A3606" s="5"/>
      <c r="C3606" s="2" t="s">
        <v>268</v>
      </c>
      <c r="D3606" s="2">
        <v>194000</v>
      </c>
      <c r="E3606" s="2">
        <v>230520</v>
      </c>
      <c r="F3606" s="2">
        <v>721520</v>
      </c>
      <c r="G3606" s="32">
        <v>12520</v>
      </c>
      <c r="H3606" s="32">
        <v>12520</v>
      </c>
    </row>
    <row r="3607" spans="1:8" s="2" customFormat="1">
      <c r="A3607" s="5"/>
      <c r="C3607" s="8" t="s">
        <v>2235</v>
      </c>
      <c r="G3607" s="32">
        <f>SUM(G3602:G3606)</f>
        <v>370312.87</v>
      </c>
      <c r="H3607" s="32">
        <f>SUM(H3602:H3606)</f>
        <v>342109.02</v>
      </c>
    </row>
    <row r="3608" spans="1:8" s="2" customFormat="1">
      <c r="A3608" s="5"/>
      <c r="G3608" s="32"/>
      <c r="H3608" s="32"/>
    </row>
    <row r="3609" spans="1:8" s="2" customFormat="1">
      <c r="A3609" s="6" t="s">
        <v>2592</v>
      </c>
      <c r="B3609" s="2" t="s">
        <v>2088</v>
      </c>
      <c r="G3609" s="32"/>
      <c r="H3609" s="32"/>
    </row>
    <row r="3610" spans="1:8" s="2" customFormat="1">
      <c r="A3610" s="20"/>
      <c r="G3610" s="32"/>
      <c r="H3610" s="32"/>
    </row>
    <row r="3611" spans="1:8" s="19" customFormat="1">
      <c r="A3611" s="29"/>
      <c r="C3611" s="19" t="s">
        <v>3215</v>
      </c>
      <c r="D3611" s="19">
        <v>194000</v>
      </c>
      <c r="E3611" s="19">
        <v>230520</v>
      </c>
      <c r="F3611" s="19">
        <v>820000</v>
      </c>
      <c r="G3611" s="34">
        <v>586338</v>
      </c>
      <c r="H3611" s="34">
        <v>586338</v>
      </c>
    </row>
    <row r="3612" spans="1:8" s="2" customFormat="1">
      <c r="A3612" s="20"/>
      <c r="C3612" s="8" t="s">
        <v>2227</v>
      </c>
      <c r="G3612" s="32">
        <f>G3611</f>
        <v>586338</v>
      </c>
      <c r="H3612" s="32">
        <f>H3611</f>
        <v>586338</v>
      </c>
    </row>
    <row r="3613" spans="1:8" s="2" customFormat="1">
      <c r="A3613" s="20"/>
      <c r="G3613" s="32"/>
      <c r="H3613" s="32"/>
    </row>
    <row r="3614" spans="1:8" s="2" customFormat="1">
      <c r="A3614" s="6" t="s">
        <v>3030</v>
      </c>
      <c r="B3614" s="2" t="s">
        <v>1519</v>
      </c>
      <c r="G3614" s="32"/>
      <c r="H3614" s="32"/>
    </row>
    <row r="3615" spans="1:8" s="2" customFormat="1">
      <c r="A3615" s="6"/>
      <c r="G3615" s="32"/>
      <c r="H3615" s="32"/>
    </row>
    <row r="3616" spans="1:8" s="2" customFormat="1">
      <c r="A3616" s="6"/>
      <c r="C3616" s="2" t="s">
        <v>2234</v>
      </c>
      <c r="D3616" s="2">
        <v>195025</v>
      </c>
      <c r="E3616" s="2">
        <v>230130</v>
      </c>
      <c r="F3616" s="2">
        <v>710000</v>
      </c>
      <c r="G3616" s="32">
        <v>35000</v>
      </c>
      <c r="H3616" s="32">
        <v>35000</v>
      </c>
    </row>
    <row r="3617" spans="1:8" s="2" customFormat="1">
      <c r="A3617" s="6"/>
      <c r="C3617" s="8" t="s">
        <v>2235</v>
      </c>
      <c r="G3617" s="32">
        <f>G3616</f>
        <v>35000</v>
      </c>
      <c r="H3617" s="32">
        <f>H3616</f>
        <v>35000</v>
      </c>
    </row>
    <row r="3618" spans="1:8" s="2" customFormat="1">
      <c r="A3618" s="6"/>
      <c r="G3618" s="32"/>
      <c r="H3618" s="32"/>
    </row>
    <row r="3619" spans="1:8" s="2" customFormat="1">
      <c r="A3619" s="6" t="s">
        <v>3030</v>
      </c>
      <c r="B3619" s="2" t="s">
        <v>1520</v>
      </c>
      <c r="G3619" s="32"/>
      <c r="H3619" s="32"/>
    </row>
    <row r="3620" spans="1:8" s="2" customFormat="1">
      <c r="A3620" s="20"/>
      <c r="G3620" s="32"/>
      <c r="H3620" s="32"/>
    </row>
    <row r="3621" spans="1:8" s="2" customFormat="1">
      <c r="A3621" s="5" t="s">
        <v>1744</v>
      </c>
      <c r="B3621" s="2" t="s">
        <v>2835</v>
      </c>
      <c r="C3621" s="2" t="s">
        <v>1609</v>
      </c>
      <c r="D3621" s="2">
        <v>195045</v>
      </c>
      <c r="E3621" s="2">
        <v>230130</v>
      </c>
      <c r="F3621" s="2">
        <v>610410</v>
      </c>
      <c r="G3621" s="32">
        <f>15799+442</f>
        <v>16241</v>
      </c>
      <c r="H3621" s="32">
        <f>15799+442</f>
        <v>16241</v>
      </c>
    </row>
    <row r="3622" spans="1:8" s="2" customFormat="1">
      <c r="A3622" s="5"/>
      <c r="C3622" s="2" t="s">
        <v>2951</v>
      </c>
      <c r="D3622" s="2">
        <v>195045</v>
      </c>
      <c r="E3622" s="2">
        <v>230130</v>
      </c>
      <c r="F3622" s="2">
        <v>630000</v>
      </c>
      <c r="G3622" s="32">
        <f>G3621*0.18</f>
        <v>2923.38</v>
      </c>
      <c r="H3622" s="32">
        <f>H3621*0.18</f>
        <v>2923.38</v>
      </c>
    </row>
    <row r="3623" spans="1:8" s="2" customFormat="1">
      <c r="A3623" s="5"/>
      <c r="C3623" s="8" t="s">
        <v>1129</v>
      </c>
      <c r="G3623" s="32">
        <f>SUM(G3621:G3622)</f>
        <v>19164.38</v>
      </c>
      <c r="H3623" s="32">
        <f>SUM(H3621:H3622)</f>
        <v>19164.38</v>
      </c>
    </row>
    <row r="3624" spans="1:8" s="2" customFormat="1">
      <c r="A3624" s="5"/>
      <c r="C3624" s="2" t="s">
        <v>2234</v>
      </c>
      <c r="D3624" s="2">
        <v>195045</v>
      </c>
      <c r="E3624" s="2">
        <v>230130</v>
      </c>
      <c r="F3624" s="2">
        <v>710000</v>
      </c>
      <c r="G3624" s="32">
        <f>G3625-G3623</f>
        <v>281303.62</v>
      </c>
      <c r="H3624" s="32">
        <f>H3625-H3623</f>
        <v>281303.62</v>
      </c>
    </row>
    <row r="3625" spans="1:8" s="2" customFormat="1">
      <c r="A3625" s="5"/>
      <c r="C3625" s="8" t="s">
        <v>2235</v>
      </c>
      <c r="G3625" s="32">
        <v>300468</v>
      </c>
      <c r="H3625" s="32">
        <v>300468</v>
      </c>
    </row>
    <row r="3626" spans="1:8" s="2" customFormat="1">
      <c r="A3626" s="5"/>
      <c r="G3626" s="32"/>
      <c r="H3626" s="32"/>
    </row>
    <row r="3627" spans="1:8" s="2" customFormat="1">
      <c r="A3627" s="6" t="s">
        <v>465</v>
      </c>
      <c r="B3627" s="2" t="s">
        <v>280</v>
      </c>
      <c r="G3627" s="32"/>
      <c r="H3627" s="32"/>
    </row>
    <row r="3628" spans="1:8" s="2" customFormat="1">
      <c r="A3628" s="6"/>
      <c r="G3628" s="32"/>
      <c r="H3628" s="32"/>
    </row>
    <row r="3629" spans="1:8" s="2" customFormat="1">
      <c r="A3629" s="6"/>
      <c r="C3629" s="2" t="s">
        <v>2234</v>
      </c>
      <c r="D3629" s="2">
        <v>195055</v>
      </c>
      <c r="E3629" s="2">
        <v>660000</v>
      </c>
      <c r="F3629" s="2">
        <v>710000</v>
      </c>
      <c r="G3629" s="32">
        <v>8500</v>
      </c>
      <c r="H3629" s="32">
        <v>8500</v>
      </c>
    </row>
    <row r="3630" spans="1:8" s="2" customFormat="1">
      <c r="A3630" s="6"/>
      <c r="C3630" s="8" t="s">
        <v>2235</v>
      </c>
      <c r="G3630" s="32">
        <f>G3629</f>
        <v>8500</v>
      </c>
      <c r="H3630" s="32">
        <f>H3629</f>
        <v>8500</v>
      </c>
    </row>
    <row r="3631" spans="1:8" s="2" customFormat="1">
      <c r="A3631" s="6"/>
      <c r="G3631" s="32"/>
      <c r="H3631" s="32"/>
    </row>
  </sheetData>
  <pageMargins left="0.5" right="0" top="1.25" bottom="0.75" header="0.5" footer="0.5"/>
  <pageSetup scale="78" orientation="landscape" horizontalDpi="4294967292" verticalDpi="4294967292" r:id="rId1"/>
  <headerFooter alignWithMargins="0">
    <oddFooter xml:space="preserve">&amp;C&amp;"Courier,Regular"Page &amp;P
</oddFooter>
  </headerFooter>
  <rowBreaks count="2" manualBreakCount="2">
    <brk id="1818" max="16383" man="1"/>
    <brk id="18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111000-</vt:lpstr>
      <vt:lpstr>'111000-'!Print_Area</vt:lpstr>
      <vt:lpstr>'111000-'!Print_Titles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Institutional Research &amp; Budget</dc:creator>
  <cp:lastModifiedBy>Sheri I O'Brien</cp:lastModifiedBy>
  <cp:lastPrinted>1999-06-18T14:14:50Z</cp:lastPrinted>
  <dcterms:created xsi:type="dcterms:W3CDTF">1998-11-23T21:18:41Z</dcterms:created>
  <dcterms:modified xsi:type="dcterms:W3CDTF">2017-10-26T21:35:03Z</dcterms:modified>
</cp:coreProperties>
</file>