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sha\Desktop\"/>
    </mc:Choice>
  </mc:AlternateContent>
  <bookViews>
    <workbookView xWindow="0" yWindow="0" windowWidth="23835" windowHeight="9690" activeTab="2"/>
  </bookViews>
  <sheets>
    <sheet name="Build - Scenario 2 Safety" sheetId="22" r:id="rId1"/>
    <sheet name="Summary Spreadsheet" sheetId="24" r:id="rId2"/>
    <sheet name="Travel Time Savings" sheetId="25" r:id="rId3"/>
    <sheet name="CPI_Deflator_Series" sheetId="5" r:id="rId4"/>
    <sheet name="Corridor Base - Safety - Veh" sheetId="6" r:id="rId5"/>
    <sheet name="19% Overall Reduction" sheetId="19" r:id="rId6"/>
    <sheet name="Comparison All Crash Reduction" sheetId="20" r:id="rId7"/>
    <sheet name="No-Build" sheetId="23" r:id="rId8"/>
    <sheet name="Corridor 5mph - Safety - Veh" sheetId="11" r:id="rId9"/>
    <sheet name="28th Base - Safety - Veh " sheetId="12" r:id="rId10"/>
    <sheet name="28th Round - Injury - Veh" sheetId="13" r:id="rId11"/>
    <sheet name="28th Round - Non-Injury - Veh" sheetId="14" r:id="rId12"/>
    <sheet name="Corr Base - Safety - Ped" sheetId="15" r:id="rId13"/>
    <sheet name="Sheet1" sheetId="17" r:id="rId14"/>
    <sheet name="Corr Imp - Safety - Ped" sheetId="16" r:id="rId15"/>
    <sheet name="Sheet2" sheetId="18" r:id="rId16"/>
  </sheets>
  <calcPr calcId="152511"/>
</workbook>
</file>

<file path=xl/calcChain.xml><?xml version="1.0" encoding="utf-8"?>
<calcChain xmlns="http://schemas.openxmlformats.org/spreadsheetml/2006/main">
  <c r="D23" i="24" l="1"/>
  <c r="D22" i="24"/>
  <c r="C23" i="24"/>
  <c r="C22" i="24"/>
  <c r="V10" i="22"/>
  <c r="F20" i="25" l="1"/>
  <c r="E20" i="25"/>
  <c r="D20" i="25"/>
  <c r="C20" i="25"/>
  <c r="B20" i="25"/>
  <c r="F18" i="25"/>
  <c r="E18" i="25"/>
  <c r="D18" i="25"/>
  <c r="C18" i="25"/>
  <c r="B18" i="25"/>
  <c r="F14" i="25"/>
  <c r="E14" i="25"/>
  <c r="D14" i="25"/>
  <c r="C14" i="25"/>
  <c r="B14" i="25"/>
  <c r="F11" i="25"/>
  <c r="E11" i="25"/>
  <c r="D11" i="25"/>
  <c r="C11" i="25"/>
  <c r="B11" i="25"/>
  <c r="A11" i="25"/>
  <c r="B20" i="24" l="1"/>
  <c r="W9" i="22"/>
  <c r="W4" i="22"/>
  <c r="B8" i="24"/>
  <c r="W20" i="22"/>
  <c r="W17" i="22"/>
  <c r="B28" i="22"/>
  <c r="C22" i="22"/>
  <c r="C29" i="22" s="1"/>
  <c r="D22" i="22"/>
  <c r="D29" i="22" s="1"/>
  <c r="E22" i="22"/>
  <c r="E29" i="22" s="1"/>
  <c r="F22" i="22"/>
  <c r="F29" i="22" s="1"/>
  <c r="G22" i="22"/>
  <c r="G29" i="22" s="1"/>
  <c r="H22" i="22"/>
  <c r="H29" i="22" s="1"/>
  <c r="I22" i="22"/>
  <c r="I29" i="22" s="1"/>
  <c r="J22" i="22"/>
  <c r="J29" i="22" s="1"/>
  <c r="K22" i="22"/>
  <c r="K29" i="22" s="1"/>
  <c r="L22" i="22"/>
  <c r="L29" i="22" s="1"/>
  <c r="M22" i="22"/>
  <c r="M29" i="22" s="1"/>
  <c r="N22" i="22"/>
  <c r="N29" i="22" s="1"/>
  <c r="O22" i="22"/>
  <c r="O29" i="22" s="1"/>
  <c r="P22" i="22"/>
  <c r="P29" i="22" s="1"/>
  <c r="Q22" i="22"/>
  <c r="Q29" i="22" s="1"/>
  <c r="R22" i="22"/>
  <c r="R29" i="22" s="1"/>
  <c r="S22" i="22"/>
  <c r="S29" i="22" s="1"/>
  <c r="T22" i="22"/>
  <c r="T29" i="22" s="1"/>
  <c r="U22" i="22"/>
  <c r="U29" i="22" s="1"/>
  <c r="V22" i="22"/>
  <c r="V29" i="22" s="1"/>
  <c r="B22" i="22"/>
  <c r="B29" i="22" s="1"/>
  <c r="W29" i="22" l="1"/>
  <c r="W22" i="22"/>
  <c r="W8" i="22"/>
  <c r="W7" i="22"/>
  <c r="W6" i="22"/>
  <c r="C22" i="23" l="1"/>
  <c r="D22" i="23"/>
  <c r="E22" i="23"/>
  <c r="F22" i="23"/>
  <c r="F23" i="23" s="1"/>
  <c r="G22" i="23"/>
  <c r="H22" i="23"/>
  <c r="I22" i="23"/>
  <c r="J22" i="23"/>
  <c r="J23" i="23" s="1"/>
  <c r="K22" i="23"/>
  <c r="L22" i="23"/>
  <c r="M22" i="23"/>
  <c r="N22" i="23"/>
  <c r="N23" i="23" s="1"/>
  <c r="O22" i="23"/>
  <c r="P22" i="23"/>
  <c r="Q22" i="23"/>
  <c r="R22" i="23"/>
  <c r="R23" i="23" s="1"/>
  <c r="S22" i="23"/>
  <c r="T22" i="23"/>
  <c r="U22" i="23"/>
  <c r="V22" i="23"/>
  <c r="V23" i="23" s="1"/>
  <c r="B22" i="23"/>
  <c r="B23" i="23" s="1"/>
  <c r="U23" i="23"/>
  <c r="T23" i="23"/>
  <c r="S23" i="23"/>
  <c r="Q23" i="23"/>
  <c r="P23" i="23"/>
  <c r="O23" i="23"/>
  <c r="M23" i="23"/>
  <c r="L23" i="23"/>
  <c r="K23" i="23"/>
  <c r="I23" i="23"/>
  <c r="H23" i="23"/>
  <c r="G23" i="23"/>
  <c r="E23" i="23"/>
  <c r="D23" i="23"/>
  <c r="C23" i="23"/>
  <c r="C9" i="23"/>
  <c r="C10" i="23" s="1"/>
  <c r="D9" i="23"/>
  <c r="D10" i="23" s="1"/>
  <c r="V23" i="22"/>
  <c r="C9" i="22"/>
  <c r="C28" i="22" s="1"/>
  <c r="M5" i="22"/>
  <c r="D4" i="22"/>
  <c r="C10" i="22" l="1"/>
  <c r="E4" i="22"/>
  <c r="F4" i="22" s="1"/>
  <c r="G4" i="22" s="1"/>
  <c r="H4" i="22" s="1"/>
  <c r="I4" i="22" s="1"/>
  <c r="J4" i="22" s="1"/>
  <c r="K4" i="22" s="1"/>
  <c r="L4" i="22" s="1"/>
  <c r="M4" i="22" s="1"/>
  <c r="N4" i="22" s="1"/>
  <c r="O4" i="22" s="1"/>
  <c r="P4" i="22" s="1"/>
  <c r="Q4" i="22" s="1"/>
  <c r="R4" i="22" s="1"/>
  <c r="S4" i="22" s="1"/>
  <c r="T4" i="22" s="1"/>
  <c r="U4" i="22" s="1"/>
  <c r="V4" i="22" s="1"/>
  <c r="N5" i="22"/>
  <c r="O5" i="22" s="1"/>
  <c r="P5" i="22" s="1"/>
  <c r="Q5" i="22" s="1"/>
  <c r="R5" i="22" s="1"/>
  <c r="S5" i="22" s="1"/>
  <c r="T5" i="22" s="1"/>
  <c r="U5" i="22" s="1"/>
  <c r="V5" i="22" s="1"/>
  <c r="W5" i="22"/>
  <c r="W23" i="23"/>
  <c r="D9" i="22"/>
  <c r="D28" i="22" s="1"/>
  <c r="J9" i="22"/>
  <c r="J28" i="22" s="1"/>
  <c r="F9" i="22"/>
  <c r="F28" i="22" s="1"/>
  <c r="M9" i="22"/>
  <c r="M28" i="22" s="1"/>
  <c r="I9" i="22"/>
  <c r="I28" i="22" s="1"/>
  <c r="L9" i="22"/>
  <c r="L28" i="22" s="1"/>
  <c r="H9" i="22"/>
  <c r="H28" i="22" s="1"/>
  <c r="E9" i="22"/>
  <c r="E28" i="22" s="1"/>
  <c r="K9" i="22"/>
  <c r="K28" i="22" s="1"/>
  <c r="G9" i="22"/>
  <c r="G28" i="22" s="1"/>
  <c r="P9" i="22"/>
  <c r="P28" i="22" s="1"/>
  <c r="Q9" i="22"/>
  <c r="Q28" i="22" s="1"/>
  <c r="T9" i="22"/>
  <c r="T28" i="22" s="1"/>
  <c r="U9" i="22"/>
  <c r="U28" i="22" s="1"/>
  <c r="S9" i="22" l="1"/>
  <c r="S28" i="22" s="1"/>
  <c r="O9" i="22"/>
  <c r="O28" i="22" s="1"/>
  <c r="R9" i="22"/>
  <c r="R28" i="22" s="1"/>
  <c r="N9" i="22"/>
  <c r="N28" i="22" s="1"/>
  <c r="V9" i="22"/>
  <c r="E9" i="23"/>
  <c r="E10" i="23" s="1"/>
  <c r="R10" i="22"/>
  <c r="N10" i="22"/>
  <c r="K10" i="22"/>
  <c r="I10" i="22"/>
  <c r="D10" i="22"/>
  <c r="U10" i="22"/>
  <c r="Q10" i="22"/>
  <c r="E10" i="22"/>
  <c r="M10" i="22"/>
  <c r="T10" i="22"/>
  <c r="P10" i="22"/>
  <c r="H10" i="22"/>
  <c r="F10" i="22"/>
  <c r="O10" i="22"/>
  <c r="G10" i="22"/>
  <c r="L10" i="22"/>
  <c r="J10" i="22"/>
  <c r="U23" i="22"/>
  <c r="T23" i="22"/>
  <c r="S23" i="22"/>
  <c r="R23" i="22"/>
  <c r="Q23" i="22"/>
  <c r="P23" i="22"/>
  <c r="O23" i="22"/>
  <c r="N23" i="22"/>
  <c r="M23" i="22"/>
  <c r="L23" i="22"/>
  <c r="K23" i="22"/>
  <c r="J23" i="22"/>
  <c r="I23" i="22"/>
  <c r="H23" i="22"/>
  <c r="G23" i="22"/>
  <c r="F23" i="22"/>
  <c r="E23" i="22"/>
  <c r="D23" i="22"/>
  <c r="C23" i="22"/>
  <c r="B23" i="22"/>
  <c r="D22" i="20"/>
  <c r="E22" i="20"/>
  <c r="F22" i="20"/>
  <c r="G22" i="20"/>
  <c r="H22" i="20"/>
  <c r="I22" i="20"/>
  <c r="J22" i="20"/>
  <c r="K22" i="20"/>
  <c r="L22" i="20"/>
  <c r="M22" i="20"/>
  <c r="N22" i="20"/>
  <c r="O22" i="20"/>
  <c r="P22" i="20"/>
  <c r="Q22" i="20"/>
  <c r="R22" i="20"/>
  <c r="S22" i="20"/>
  <c r="T22" i="20"/>
  <c r="U22" i="20"/>
  <c r="V22" i="20"/>
  <c r="W22" i="20"/>
  <c r="C22" i="20"/>
  <c r="D20" i="20"/>
  <c r="E20" i="20"/>
  <c r="F20" i="20"/>
  <c r="G20" i="20"/>
  <c r="H20" i="20"/>
  <c r="I20" i="20"/>
  <c r="J20" i="20"/>
  <c r="K20" i="20"/>
  <c r="L20" i="20"/>
  <c r="M20" i="20"/>
  <c r="N20" i="20"/>
  <c r="O20" i="20"/>
  <c r="P20" i="20"/>
  <c r="Q20" i="20"/>
  <c r="R20" i="20"/>
  <c r="S20" i="20"/>
  <c r="T20" i="20"/>
  <c r="U20" i="20"/>
  <c r="V20" i="20"/>
  <c r="W20" i="20"/>
  <c r="C20" i="20"/>
  <c r="D16" i="20"/>
  <c r="E16" i="20"/>
  <c r="F16" i="20"/>
  <c r="G16" i="20"/>
  <c r="H16" i="20"/>
  <c r="I16" i="20"/>
  <c r="J16" i="20"/>
  <c r="K16" i="20"/>
  <c r="L16" i="20"/>
  <c r="M16" i="20"/>
  <c r="N16" i="20"/>
  <c r="O16" i="20"/>
  <c r="P16" i="20"/>
  <c r="Q16" i="20"/>
  <c r="R16" i="20"/>
  <c r="S16" i="20"/>
  <c r="T16" i="20"/>
  <c r="U16" i="20"/>
  <c r="V16" i="20"/>
  <c r="W16" i="20"/>
  <c r="C16" i="20"/>
  <c r="D11" i="20"/>
  <c r="E11" i="20"/>
  <c r="F11" i="20"/>
  <c r="G11" i="20"/>
  <c r="H11" i="20"/>
  <c r="I11" i="20"/>
  <c r="J11" i="20"/>
  <c r="K11" i="20"/>
  <c r="L11" i="20"/>
  <c r="M11" i="20"/>
  <c r="N11" i="20"/>
  <c r="O11" i="20"/>
  <c r="P11" i="20"/>
  <c r="Q11" i="20"/>
  <c r="R11" i="20"/>
  <c r="S11" i="20"/>
  <c r="T11" i="20"/>
  <c r="U11" i="20"/>
  <c r="V11" i="20"/>
  <c r="W11" i="20"/>
  <c r="C11" i="20"/>
  <c r="E5" i="20"/>
  <c r="F5" i="20"/>
  <c r="G5" i="20"/>
  <c r="H5" i="20"/>
  <c r="I5" i="20"/>
  <c r="J5" i="20"/>
  <c r="K5" i="20"/>
  <c r="L5" i="20"/>
  <c r="M5" i="20"/>
  <c r="N5" i="20"/>
  <c r="O5" i="20"/>
  <c r="P5" i="20"/>
  <c r="Q5" i="20"/>
  <c r="R5" i="20"/>
  <c r="S5" i="20"/>
  <c r="T5" i="20"/>
  <c r="U5" i="20"/>
  <c r="V5" i="20"/>
  <c r="W5" i="20"/>
  <c r="D5" i="20"/>
  <c r="C5" i="20"/>
  <c r="D33" i="19"/>
  <c r="D32" i="19"/>
  <c r="D31" i="19"/>
  <c r="D30" i="19"/>
  <c r="D29" i="19"/>
  <c r="D28" i="19"/>
  <c r="D27" i="19"/>
  <c r="C18" i="19" s="1"/>
  <c r="D26" i="19"/>
  <c r="C16" i="19"/>
  <c r="C15" i="19"/>
  <c r="W11" i="19"/>
  <c r="V11" i="19"/>
  <c r="U11" i="19"/>
  <c r="T11" i="19"/>
  <c r="S11" i="19"/>
  <c r="R11" i="19"/>
  <c r="Q11" i="19"/>
  <c r="P11" i="19"/>
  <c r="O11" i="19"/>
  <c r="N11" i="19"/>
  <c r="M11" i="19"/>
  <c r="L11" i="19"/>
  <c r="K11" i="19"/>
  <c r="J11" i="19"/>
  <c r="I11" i="19"/>
  <c r="H11" i="19"/>
  <c r="G11" i="19"/>
  <c r="F11" i="19"/>
  <c r="E11" i="19"/>
  <c r="D11" i="19"/>
  <c r="W10" i="19"/>
  <c r="V10" i="19"/>
  <c r="U10" i="19"/>
  <c r="T10" i="19"/>
  <c r="S10" i="19"/>
  <c r="R10" i="19"/>
  <c r="Q10" i="19"/>
  <c r="P10" i="19"/>
  <c r="O10" i="19"/>
  <c r="N10" i="19"/>
  <c r="M10" i="19"/>
  <c r="L10" i="19"/>
  <c r="L18" i="19" s="1"/>
  <c r="K10" i="19"/>
  <c r="J10" i="19"/>
  <c r="I10" i="19"/>
  <c r="H10" i="19"/>
  <c r="H18" i="19" s="1"/>
  <c r="G10" i="19"/>
  <c r="F10" i="19"/>
  <c r="E10" i="19"/>
  <c r="D10" i="19"/>
  <c r="D18" i="19" s="1"/>
  <c r="W9" i="19"/>
  <c r="V9" i="19"/>
  <c r="U9" i="19"/>
  <c r="T9" i="19"/>
  <c r="S9" i="19"/>
  <c r="R9" i="19"/>
  <c r="Q9" i="19"/>
  <c r="P9" i="19"/>
  <c r="O9" i="19"/>
  <c r="N9" i="19"/>
  <c r="M9" i="19"/>
  <c r="L9" i="19"/>
  <c r="K9" i="19"/>
  <c r="J9" i="19"/>
  <c r="I9" i="19"/>
  <c r="H9" i="19"/>
  <c r="G9" i="19"/>
  <c r="F9" i="19"/>
  <c r="E9" i="19"/>
  <c r="D9" i="19"/>
  <c r="W8" i="19"/>
  <c r="V8" i="19"/>
  <c r="V16" i="19" s="1"/>
  <c r="U8" i="19"/>
  <c r="U16" i="19" s="1"/>
  <c r="T8" i="19"/>
  <c r="T16" i="19" s="1"/>
  <c r="S8" i="19"/>
  <c r="R8" i="19"/>
  <c r="R16" i="19" s="1"/>
  <c r="Q8" i="19"/>
  <c r="Q16" i="19" s="1"/>
  <c r="P8" i="19"/>
  <c r="P16" i="19" s="1"/>
  <c r="O8" i="19"/>
  <c r="N8" i="19"/>
  <c r="N16" i="19" s="1"/>
  <c r="M8" i="19"/>
  <c r="M16" i="19" s="1"/>
  <c r="L8" i="19"/>
  <c r="L16" i="19" s="1"/>
  <c r="K8" i="19"/>
  <c r="J8" i="19"/>
  <c r="J16" i="19" s="1"/>
  <c r="I8" i="19"/>
  <c r="I16" i="19" s="1"/>
  <c r="H8" i="19"/>
  <c r="H16" i="19" s="1"/>
  <c r="G8" i="19"/>
  <c r="F8" i="19"/>
  <c r="F16" i="19" s="1"/>
  <c r="E8" i="19"/>
  <c r="E16" i="19" s="1"/>
  <c r="D8" i="19"/>
  <c r="D16" i="19" s="1"/>
  <c r="W7" i="19"/>
  <c r="W15" i="19" s="1"/>
  <c r="V7" i="19"/>
  <c r="V15" i="19" s="1"/>
  <c r="U7" i="19"/>
  <c r="U15" i="19" s="1"/>
  <c r="T7" i="19"/>
  <c r="T15" i="19" s="1"/>
  <c r="S7" i="19"/>
  <c r="S15" i="19" s="1"/>
  <c r="R7" i="19"/>
  <c r="R15" i="19" s="1"/>
  <c r="Q7" i="19"/>
  <c r="Q15" i="19" s="1"/>
  <c r="P7" i="19"/>
  <c r="P15" i="19" s="1"/>
  <c r="O7" i="19"/>
  <c r="O15" i="19" s="1"/>
  <c r="N7" i="19"/>
  <c r="N15" i="19" s="1"/>
  <c r="M7" i="19"/>
  <c r="M15" i="19" s="1"/>
  <c r="L7" i="19"/>
  <c r="L15" i="19" s="1"/>
  <c r="K7" i="19"/>
  <c r="K15" i="19" s="1"/>
  <c r="J7" i="19"/>
  <c r="J15" i="19" s="1"/>
  <c r="I7" i="19"/>
  <c r="I15" i="19" s="1"/>
  <c r="H7" i="19"/>
  <c r="H15" i="19" s="1"/>
  <c r="G7" i="19"/>
  <c r="G15" i="19" s="1"/>
  <c r="F7" i="19"/>
  <c r="F15" i="19" s="1"/>
  <c r="E7" i="19"/>
  <c r="E15" i="19" s="1"/>
  <c r="D7" i="19"/>
  <c r="D15" i="19" s="1"/>
  <c r="V28" i="22" l="1"/>
  <c r="W28" i="22" s="1"/>
  <c r="W30" i="22" s="1"/>
  <c r="S10" i="22"/>
  <c r="F9" i="23"/>
  <c r="F10" i="23" s="1"/>
  <c r="W23" i="22"/>
  <c r="W10" i="22"/>
  <c r="S16" i="19"/>
  <c r="P18" i="19"/>
  <c r="G17" i="19"/>
  <c r="W17" i="19"/>
  <c r="G18" i="19"/>
  <c r="K18" i="19"/>
  <c r="O18" i="19"/>
  <c r="S18" i="19"/>
  <c r="W18" i="19"/>
  <c r="O19" i="19"/>
  <c r="L17" i="19"/>
  <c r="M17" i="19"/>
  <c r="E18" i="19"/>
  <c r="I18" i="19"/>
  <c r="M18" i="19"/>
  <c r="Q18" i="19"/>
  <c r="U18" i="19"/>
  <c r="E19" i="19"/>
  <c r="U19" i="19"/>
  <c r="P17" i="19"/>
  <c r="T18" i="19"/>
  <c r="F18" i="19"/>
  <c r="J18" i="19"/>
  <c r="N18" i="19"/>
  <c r="R18" i="19"/>
  <c r="V18" i="19"/>
  <c r="J19" i="19"/>
  <c r="G16" i="19"/>
  <c r="O16" i="19"/>
  <c r="C19" i="19"/>
  <c r="S19" i="19" s="1"/>
  <c r="K16" i="19"/>
  <c r="W16" i="19"/>
  <c r="C17" i="19"/>
  <c r="T17" i="19" s="1"/>
  <c r="W25" i="22" l="1"/>
  <c r="G9" i="23"/>
  <c r="G10" i="23" s="1"/>
  <c r="N19" i="19"/>
  <c r="I19" i="19"/>
  <c r="Q17" i="19"/>
  <c r="K17" i="19"/>
  <c r="P19" i="19"/>
  <c r="P20" i="19" s="1"/>
  <c r="T19" i="19"/>
  <c r="T20" i="19" s="1"/>
  <c r="L19" i="19"/>
  <c r="L20" i="19" s="1"/>
  <c r="H19" i="19"/>
  <c r="D19" i="19"/>
  <c r="V19" i="19"/>
  <c r="F19" i="19"/>
  <c r="D17" i="19"/>
  <c r="Q19" i="19"/>
  <c r="I17" i="19"/>
  <c r="I20" i="19" s="1"/>
  <c r="K19" i="19"/>
  <c r="S17" i="19"/>
  <c r="S20" i="19" s="1"/>
  <c r="R17" i="19"/>
  <c r="V17" i="19"/>
  <c r="V20" i="19" s="1"/>
  <c r="N17" i="19"/>
  <c r="F17" i="19"/>
  <c r="J17" i="19"/>
  <c r="J20" i="19" s="1"/>
  <c r="R19" i="19"/>
  <c r="M19" i="19"/>
  <c r="M20" i="19" s="1"/>
  <c r="U17" i="19"/>
  <c r="U20" i="19" s="1"/>
  <c r="E17" i="19"/>
  <c r="E20" i="19" s="1"/>
  <c r="W19" i="19"/>
  <c r="W20" i="19" s="1"/>
  <c r="G19" i="19"/>
  <c r="G20" i="19" s="1"/>
  <c r="O17" i="19"/>
  <c r="O20" i="19" s="1"/>
  <c r="H17" i="19"/>
  <c r="H9" i="23" l="1"/>
  <c r="H10" i="23" s="1"/>
  <c r="H20" i="19"/>
  <c r="D20" i="19"/>
  <c r="D22" i="19" s="1"/>
  <c r="K20" i="19"/>
  <c r="K22" i="19" s="1"/>
  <c r="N20" i="19"/>
  <c r="N22" i="19" s="1"/>
  <c r="Q20" i="19"/>
  <c r="Q21" i="19" s="1"/>
  <c r="T22" i="19"/>
  <c r="T21" i="19"/>
  <c r="O22" i="19"/>
  <c r="O21" i="19"/>
  <c r="K21" i="19"/>
  <c r="G22" i="19"/>
  <c r="G21" i="19"/>
  <c r="M21" i="19"/>
  <c r="M22" i="19"/>
  <c r="L22" i="19"/>
  <c r="L21" i="19"/>
  <c r="P22" i="19"/>
  <c r="P21" i="19"/>
  <c r="U21" i="19"/>
  <c r="U22" i="19"/>
  <c r="F20" i="19"/>
  <c r="S22" i="19"/>
  <c r="S21" i="19"/>
  <c r="D21" i="19"/>
  <c r="V22" i="19"/>
  <c r="V21" i="19"/>
  <c r="I21" i="19"/>
  <c r="I22" i="19"/>
  <c r="N21" i="19"/>
  <c r="W22" i="19"/>
  <c r="W21" i="19"/>
  <c r="H22" i="19"/>
  <c r="H21" i="19"/>
  <c r="E21" i="19"/>
  <c r="E22" i="19"/>
  <c r="J22" i="19"/>
  <c r="J21" i="19"/>
  <c r="R20" i="19"/>
  <c r="I9" i="23" l="1"/>
  <c r="I10" i="23" s="1"/>
  <c r="Q22" i="19"/>
  <c r="X20" i="19"/>
  <c r="R22" i="19"/>
  <c r="R21" i="19"/>
  <c r="F22" i="19"/>
  <c r="X22" i="19" s="1"/>
  <c r="F21" i="19"/>
  <c r="J9" i="23" l="1"/>
  <c r="J10" i="23" s="1"/>
  <c r="X21" i="19"/>
  <c r="D33" i="16"/>
  <c r="D32" i="16"/>
  <c r="C15" i="16" s="1"/>
  <c r="D31" i="16"/>
  <c r="D30" i="16"/>
  <c r="D29" i="16"/>
  <c r="D28" i="16"/>
  <c r="D27" i="16"/>
  <c r="D26" i="16"/>
  <c r="W11" i="16"/>
  <c r="V11" i="16"/>
  <c r="U11" i="16"/>
  <c r="T11" i="16"/>
  <c r="S11" i="16"/>
  <c r="R11" i="16"/>
  <c r="Q11" i="16"/>
  <c r="P11" i="16"/>
  <c r="O11" i="16"/>
  <c r="N11" i="16"/>
  <c r="M11" i="16"/>
  <c r="L11" i="16"/>
  <c r="K11" i="16"/>
  <c r="J11" i="16"/>
  <c r="I11" i="16"/>
  <c r="H11" i="16"/>
  <c r="G11" i="16"/>
  <c r="F11" i="16"/>
  <c r="E11" i="16"/>
  <c r="D11" i="16"/>
  <c r="W10" i="16"/>
  <c r="V10" i="16"/>
  <c r="U10" i="16"/>
  <c r="T10" i="16"/>
  <c r="S10" i="16"/>
  <c r="R10" i="16"/>
  <c r="Q10" i="16"/>
  <c r="P10" i="16"/>
  <c r="O10" i="16"/>
  <c r="N10" i="16"/>
  <c r="M10" i="16"/>
  <c r="L10" i="16"/>
  <c r="K10" i="16"/>
  <c r="J10" i="16"/>
  <c r="I10" i="16"/>
  <c r="H10" i="16"/>
  <c r="G10" i="16"/>
  <c r="F10" i="16"/>
  <c r="E10" i="16"/>
  <c r="D10" i="16"/>
  <c r="W9" i="16"/>
  <c r="V9" i="16"/>
  <c r="U9" i="16"/>
  <c r="T9" i="16"/>
  <c r="S9" i="16"/>
  <c r="R9" i="16"/>
  <c r="Q9" i="16"/>
  <c r="P9" i="16"/>
  <c r="O9" i="16"/>
  <c r="N9" i="16"/>
  <c r="M9" i="16"/>
  <c r="L9" i="16"/>
  <c r="K9" i="16"/>
  <c r="J9" i="16"/>
  <c r="I9" i="16"/>
  <c r="H9" i="16"/>
  <c r="G9" i="16"/>
  <c r="F9" i="16"/>
  <c r="E9" i="16"/>
  <c r="D9" i="16"/>
  <c r="W8" i="16"/>
  <c r="V8" i="16"/>
  <c r="U8" i="16"/>
  <c r="T8" i="16"/>
  <c r="S8" i="16"/>
  <c r="R8" i="16"/>
  <c r="Q8" i="16"/>
  <c r="P8" i="16"/>
  <c r="O8" i="16"/>
  <c r="N8" i="16"/>
  <c r="M8" i="16"/>
  <c r="L8" i="16"/>
  <c r="K8" i="16"/>
  <c r="J8" i="16"/>
  <c r="I8" i="16"/>
  <c r="H8" i="16"/>
  <c r="G8" i="16"/>
  <c r="F8" i="16"/>
  <c r="E8" i="16"/>
  <c r="D8" i="16"/>
  <c r="W7" i="16"/>
  <c r="V7" i="16"/>
  <c r="V15" i="16" s="1"/>
  <c r="U7" i="16"/>
  <c r="T7" i="16"/>
  <c r="S7" i="16"/>
  <c r="R7" i="16"/>
  <c r="Q7" i="16"/>
  <c r="P7" i="16"/>
  <c r="O7" i="16"/>
  <c r="N7" i="16"/>
  <c r="N15" i="16" s="1"/>
  <c r="M7" i="16"/>
  <c r="L7" i="16"/>
  <c r="K7" i="16"/>
  <c r="J7" i="16"/>
  <c r="I7" i="16"/>
  <c r="H7" i="16"/>
  <c r="G7" i="16"/>
  <c r="F7" i="16"/>
  <c r="F15" i="16" s="1"/>
  <c r="E7" i="16"/>
  <c r="D7" i="16"/>
  <c r="D33" i="15"/>
  <c r="D32" i="15"/>
  <c r="C15" i="15" s="1"/>
  <c r="D31" i="15"/>
  <c r="D30" i="15"/>
  <c r="D29" i="15"/>
  <c r="D28" i="15"/>
  <c r="C18" i="15" s="1"/>
  <c r="D27" i="15"/>
  <c r="D26" i="15"/>
  <c r="W11" i="15"/>
  <c r="V11" i="15"/>
  <c r="U11" i="15"/>
  <c r="T11" i="15"/>
  <c r="S11" i="15"/>
  <c r="R11" i="15"/>
  <c r="Q11" i="15"/>
  <c r="P11" i="15"/>
  <c r="O11" i="15"/>
  <c r="N11" i="15"/>
  <c r="M11" i="15"/>
  <c r="L11" i="15"/>
  <c r="K11" i="15"/>
  <c r="J11" i="15"/>
  <c r="I11" i="15"/>
  <c r="H11" i="15"/>
  <c r="G11" i="15"/>
  <c r="F11" i="15"/>
  <c r="E11" i="15"/>
  <c r="D11" i="15"/>
  <c r="W10" i="15"/>
  <c r="V10" i="15"/>
  <c r="U10" i="15"/>
  <c r="T10" i="15"/>
  <c r="S10" i="15"/>
  <c r="R10" i="15"/>
  <c r="Q10" i="15"/>
  <c r="P10" i="15"/>
  <c r="O10" i="15"/>
  <c r="N10" i="15"/>
  <c r="M10" i="15"/>
  <c r="L10" i="15"/>
  <c r="K10" i="15"/>
  <c r="J10" i="15"/>
  <c r="I10" i="15"/>
  <c r="H10" i="15"/>
  <c r="G10" i="15"/>
  <c r="F10" i="15"/>
  <c r="E10" i="15"/>
  <c r="D10" i="15"/>
  <c r="W9" i="15"/>
  <c r="V9" i="15"/>
  <c r="U9" i="15"/>
  <c r="T9" i="15"/>
  <c r="S9" i="15"/>
  <c r="R9" i="15"/>
  <c r="Q9" i="15"/>
  <c r="P9" i="15"/>
  <c r="O9" i="15"/>
  <c r="N9" i="15"/>
  <c r="M9" i="15"/>
  <c r="L9" i="15"/>
  <c r="K9" i="15"/>
  <c r="J9" i="15"/>
  <c r="I9" i="15"/>
  <c r="H9" i="15"/>
  <c r="G9" i="15"/>
  <c r="F9" i="15"/>
  <c r="E9" i="15"/>
  <c r="D9" i="15"/>
  <c r="W8" i="15"/>
  <c r="V8" i="15"/>
  <c r="U8" i="15"/>
  <c r="T8" i="15"/>
  <c r="S8" i="15"/>
  <c r="R8" i="15"/>
  <c r="Q8" i="15"/>
  <c r="P8" i="15"/>
  <c r="O8" i="15"/>
  <c r="N8" i="15"/>
  <c r="M8" i="15"/>
  <c r="L8" i="15"/>
  <c r="K8" i="15"/>
  <c r="J8" i="15"/>
  <c r="I8" i="15"/>
  <c r="H8" i="15"/>
  <c r="G8" i="15"/>
  <c r="F8" i="15"/>
  <c r="E8" i="15"/>
  <c r="D8" i="15"/>
  <c r="W7" i="15"/>
  <c r="V7" i="15"/>
  <c r="U7" i="15"/>
  <c r="T7" i="15"/>
  <c r="S7" i="15"/>
  <c r="R7" i="15"/>
  <c r="Q7" i="15"/>
  <c r="P7" i="15"/>
  <c r="O7" i="15"/>
  <c r="N7" i="15"/>
  <c r="M7" i="15"/>
  <c r="L7" i="15"/>
  <c r="K7" i="15"/>
  <c r="J7" i="15"/>
  <c r="I7" i="15"/>
  <c r="H7" i="15"/>
  <c r="G7" i="15"/>
  <c r="F7" i="15"/>
  <c r="E7" i="15"/>
  <c r="D7" i="15"/>
  <c r="D33" i="14"/>
  <c r="D32" i="14"/>
  <c r="C15" i="14" s="1"/>
  <c r="D31" i="14"/>
  <c r="D30" i="14"/>
  <c r="D29" i="14"/>
  <c r="D28" i="14"/>
  <c r="C17" i="14" s="1"/>
  <c r="D27" i="14"/>
  <c r="D26" i="14"/>
  <c r="C16" i="14"/>
  <c r="W11" i="14"/>
  <c r="V11" i="14"/>
  <c r="U11" i="14"/>
  <c r="T11" i="14"/>
  <c r="S11" i="14"/>
  <c r="R11" i="14"/>
  <c r="Q11" i="14"/>
  <c r="P11" i="14"/>
  <c r="O11" i="14"/>
  <c r="N11" i="14"/>
  <c r="M11" i="14"/>
  <c r="L11" i="14"/>
  <c r="K11" i="14"/>
  <c r="J11" i="14"/>
  <c r="I11" i="14"/>
  <c r="H11" i="14"/>
  <c r="G11" i="14"/>
  <c r="F11" i="14"/>
  <c r="E11" i="14"/>
  <c r="D11" i="14"/>
  <c r="W10" i="14"/>
  <c r="V10" i="14"/>
  <c r="U10" i="14"/>
  <c r="T10" i="14"/>
  <c r="S10" i="14"/>
  <c r="R10" i="14"/>
  <c r="Q10" i="14"/>
  <c r="P10" i="14"/>
  <c r="O10" i="14"/>
  <c r="N10" i="14"/>
  <c r="M10" i="14"/>
  <c r="L10" i="14"/>
  <c r="K10" i="14"/>
  <c r="J10" i="14"/>
  <c r="I10" i="14"/>
  <c r="H10" i="14"/>
  <c r="G10" i="14"/>
  <c r="F10" i="14"/>
  <c r="E10" i="14"/>
  <c r="D10" i="14"/>
  <c r="W9" i="14"/>
  <c r="V9" i="14"/>
  <c r="U9" i="14"/>
  <c r="T9" i="14"/>
  <c r="S9" i="14"/>
  <c r="R9" i="14"/>
  <c r="Q9" i="14"/>
  <c r="P9" i="14"/>
  <c r="O9" i="14"/>
  <c r="N9" i="14"/>
  <c r="M9" i="14"/>
  <c r="L9" i="14"/>
  <c r="K9" i="14"/>
  <c r="J9" i="14"/>
  <c r="I9" i="14"/>
  <c r="H9" i="14"/>
  <c r="G9" i="14"/>
  <c r="F9" i="14"/>
  <c r="E9" i="14"/>
  <c r="D9" i="14"/>
  <c r="W8" i="14"/>
  <c r="V8" i="14"/>
  <c r="U8" i="14"/>
  <c r="T8" i="14"/>
  <c r="S8" i="14"/>
  <c r="R8" i="14"/>
  <c r="Q8" i="14"/>
  <c r="P8" i="14"/>
  <c r="O8" i="14"/>
  <c r="N8" i="14"/>
  <c r="M8" i="14"/>
  <c r="L8" i="14"/>
  <c r="K8" i="14"/>
  <c r="J8" i="14"/>
  <c r="I8" i="14"/>
  <c r="H8" i="14"/>
  <c r="G8" i="14"/>
  <c r="F8" i="14"/>
  <c r="E8" i="14"/>
  <c r="D8" i="14"/>
  <c r="W7" i="14"/>
  <c r="V7" i="14"/>
  <c r="U7" i="14"/>
  <c r="T7" i="14"/>
  <c r="S7" i="14"/>
  <c r="R7" i="14"/>
  <c r="Q7" i="14"/>
  <c r="P7" i="14"/>
  <c r="O7" i="14"/>
  <c r="N7" i="14"/>
  <c r="M7" i="14"/>
  <c r="L7" i="14"/>
  <c r="K7" i="14"/>
  <c r="J7" i="14"/>
  <c r="I7" i="14"/>
  <c r="H7" i="14"/>
  <c r="G7" i="14"/>
  <c r="F7" i="14"/>
  <c r="E7" i="14"/>
  <c r="D7" i="14"/>
  <c r="D33" i="13"/>
  <c r="D32" i="13"/>
  <c r="D31" i="13"/>
  <c r="D30" i="13"/>
  <c r="D29" i="13"/>
  <c r="D28" i="13"/>
  <c r="D27" i="13"/>
  <c r="D26" i="13"/>
  <c r="C15" i="13"/>
  <c r="W11" i="13"/>
  <c r="V11" i="13"/>
  <c r="U11" i="13"/>
  <c r="T11" i="13"/>
  <c r="S11" i="13"/>
  <c r="R11" i="13"/>
  <c r="Q11" i="13"/>
  <c r="P11" i="13"/>
  <c r="O11" i="13"/>
  <c r="N11" i="13"/>
  <c r="M11" i="13"/>
  <c r="L11" i="13"/>
  <c r="K11" i="13"/>
  <c r="J11" i="13"/>
  <c r="I11" i="13"/>
  <c r="H11" i="13"/>
  <c r="G11" i="13"/>
  <c r="F11" i="13"/>
  <c r="E11" i="13"/>
  <c r="D11" i="13"/>
  <c r="W10" i="13"/>
  <c r="V10" i="13"/>
  <c r="U10" i="13"/>
  <c r="T10" i="13"/>
  <c r="S10" i="13"/>
  <c r="R10" i="13"/>
  <c r="Q10" i="13"/>
  <c r="P10" i="13"/>
  <c r="O10" i="13"/>
  <c r="N10" i="13"/>
  <c r="M10" i="13"/>
  <c r="L10" i="13"/>
  <c r="K10" i="13"/>
  <c r="J10" i="13"/>
  <c r="I10" i="13"/>
  <c r="H10" i="13"/>
  <c r="G10" i="13"/>
  <c r="F10" i="13"/>
  <c r="E10" i="13"/>
  <c r="D10" i="13"/>
  <c r="W9" i="13"/>
  <c r="V9" i="13"/>
  <c r="U9" i="13"/>
  <c r="T9" i="13"/>
  <c r="S9" i="13"/>
  <c r="R9" i="13"/>
  <c r="Q9" i="13"/>
  <c r="P9" i="13"/>
  <c r="O9" i="13"/>
  <c r="N9" i="13"/>
  <c r="M9" i="13"/>
  <c r="L9" i="13"/>
  <c r="K9" i="13"/>
  <c r="J9" i="13"/>
  <c r="I9" i="13"/>
  <c r="H9" i="13"/>
  <c r="G9" i="13"/>
  <c r="F9" i="13"/>
  <c r="E9" i="13"/>
  <c r="D9" i="13"/>
  <c r="W8" i="13"/>
  <c r="V8" i="13"/>
  <c r="U8" i="13"/>
  <c r="T8" i="13"/>
  <c r="S8" i="13"/>
  <c r="R8" i="13"/>
  <c r="Q8" i="13"/>
  <c r="P8" i="13"/>
  <c r="O8" i="13"/>
  <c r="N8" i="13"/>
  <c r="M8" i="13"/>
  <c r="L8" i="13"/>
  <c r="K8" i="13"/>
  <c r="J8" i="13"/>
  <c r="I8" i="13"/>
  <c r="H8" i="13"/>
  <c r="G8" i="13"/>
  <c r="F8" i="13"/>
  <c r="E8" i="13"/>
  <c r="D8" i="13"/>
  <c r="W7" i="13"/>
  <c r="V7" i="13"/>
  <c r="V15" i="13" s="1"/>
  <c r="U7" i="13"/>
  <c r="U15" i="13" s="1"/>
  <c r="T7" i="13"/>
  <c r="T15" i="13" s="1"/>
  <c r="S7" i="13"/>
  <c r="R7" i="13"/>
  <c r="R15" i="13" s="1"/>
  <c r="Q7" i="13"/>
  <c r="Q15" i="13" s="1"/>
  <c r="P7" i="13"/>
  <c r="P15" i="13" s="1"/>
  <c r="O7" i="13"/>
  <c r="O15" i="13" s="1"/>
  <c r="N7" i="13"/>
  <c r="N15" i="13" s="1"/>
  <c r="M7" i="13"/>
  <c r="M15" i="13" s="1"/>
  <c r="L7" i="13"/>
  <c r="L15" i="13" s="1"/>
  <c r="K7" i="13"/>
  <c r="K15" i="13" s="1"/>
  <c r="J7" i="13"/>
  <c r="J15" i="13" s="1"/>
  <c r="I7" i="13"/>
  <c r="I15" i="13" s="1"/>
  <c r="H7" i="13"/>
  <c r="H15" i="13" s="1"/>
  <c r="G7" i="13"/>
  <c r="G15" i="13" s="1"/>
  <c r="F7" i="13"/>
  <c r="F15" i="13" s="1"/>
  <c r="E7" i="13"/>
  <c r="E15" i="13" s="1"/>
  <c r="D7" i="13"/>
  <c r="D15" i="13" s="1"/>
  <c r="D33" i="12"/>
  <c r="D32" i="12"/>
  <c r="D31" i="12"/>
  <c r="D30" i="12"/>
  <c r="D29" i="12"/>
  <c r="D28" i="12"/>
  <c r="D27" i="12"/>
  <c r="D26" i="12"/>
  <c r="C15" i="12"/>
  <c r="W11" i="12"/>
  <c r="V11" i="12"/>
  <c r="U11" i="12"/>
  <c r="T11" i="12"/>
  <c r="S11" i="12"/>
  <c r="R11" i="12"/>
  <c r="Q11" i="12"/>
  <c r="P11" i="12"/>
  <c r="O11" i="12"/>
  <c r="N11" i="12"/>
  <c r="M11" i="12"/>
  <c r="L11" i="12"/>
  <c r="K11" i="12"/>
  <c r="J11" i="12"/>
  <c r="I11" i="12"/>
  <c r="H11" i="12"/>
  <c r="G11" i="12"/>
  <c r="F11" i="12"/>
  <c r="E11" i="12"/>
  <c r="D11" i="12"/>
  <c r="W10" i="12"/>
  <c r="V10" i="12"/>
  <c r="U10" i="12"/>
  <c r="T10" i="12"/>
  <c r="S10" i="12"/>
  <c r="R10" i="12"/>
  <c r="Q10" i="12"/>
  <c r="P10" i="12"/>
  <c r="O10" i="12"/>
  <c r="N10" i="12"/>
  <c r="M10" i="12"/>
  <c r="L10" i="12"/>
  <c r="K10" i="12"/>
  <c r="J10" i="12"/>
  <c r="I10" i="12"/>
  <c r="H10" i="12"/>
  <c r="G10" i="12"/>
  <c r="F10" i="12"/>
  <c r="E10" i="12"/>
  <c r="D10" i="12"/>
  <c r="W9" i="12"/>
  <c r="V9" i="12"/>
  <c r="U9" i="12"/>
  <c r="T9" i="12"/>
  <c r="S9" i="12"/>
  <c r="R9" i="12"/>
  <c r="Q9" i="12"/>
  <c r="P9" i="12"/>
  <c r="O9" i="12"/>
  <c r="N9" i="12"/>
  <c r="M9" i="12"/>
  <c r="L9" i="12"/>
  <c r="K9" i="12"/>
  <c r="J9" i="12"/>
  <c r="I9" i="12"/>
  <c r="H9" i="12"/>
  <c r="G9" i="12"/>
  <c r="F9" i="12"/>
  <c r="E9" i="12"/>
  <c r="D9" i="12"/>
  <c r="W8" i="12"/>
  <c r="V8" i="12"/>
  <c r="U8" i="12"/>
  <c r="T8" i="12"/>
  <c r="S8" i="12"/>
  <c r="R8" i="12"/>
  <c r="Q8" i="12"/>
  <c r="P8" i="12"/>
  <c r="O8" i="12"/>
  <c r="N8" i="12"/>
  <c r="M8" i="12"/>
  <c r="L8" i="12"/>
  <c r="K8" i="12"/>
  <c r="J8" i="12"/>
  <c r="I8" i="12"/>
  <c r="H8" i="12"/>
  <c r="G8" i="12"/>
  <c r="F8" i="12"/>
  <c r="E8" i="12"/>
  <c r="D8" i="12"/>
  <c r="W7" i="12"/>
  <c r="V7" i="12"/>
  <c r="U7" i="12"/>
  <c r="T7" i="12"/>
  <c r="T15" i="12" s="1"/>
  <c r="S7" i="12"/>
  <c r="R7" i="12"/>
  <c r="Q7" i="12"/>
  <c r="P7" i="12"/>
  <c r="P15" i="12" s="1"/>
  <c r="O7" i="12"/>
  <c r="N7" i="12"/>
  <c r="M7" i="12"/>
  <c r="L7" i="12"/>
  <c r="L15" i="12" s="1"/>
  <c r="K7" i="12"/>
  <c r="J7" i="12"/>
  <c r="I7" i="12"/>
  <c r="H7" i="12"/>
  <c r="H15" i="12" s="1"/>
  <c r="G7" i="12"/>
  <c r="F7" i="12"/>
  <c r="E7" i="12"/>
  <c r="D7" i="12"/>
  <c r="D15" i="12" s="1"/>
  <c r="D33" i="11"/>
  <c r="D32" i="11"/>
  <c r="C15" i="11" s="1"/>
  <c r="D31" i="11"/>
  <c r="D30" i="11"/>
  <c r="D29" i="11"/>
  <c r="D28" i="11"/>
  <c r="D27" i="11"/>
  <c r="D26" i="11"/>
  <c r="W11" i="11"/>
  <c r="V11" i="11"/>
  <c r="U11" i="11"/>
  <c r="T11" i="11"/>
  <c r="S11" i="11"/>
  <c r="R11" i="11"/>
  <c r="Q11" i="11"/>
  <c r="P11" i="11"/>
  <c r="O11" i="11"/>
  <c r="N11" i="11"/>
  <c r="M11" i="11"/>
  <c r="L11" i="11"/>
  <c r="K11" i="11"/>
  <c r="J11" i="11"/>
  <c r="I11" i="11"/>
  <c r="H11" i="11"/>
  <c r="G11" i="11"/>
  <c r="F11" i="11"/>
  <c r="E11" i="11"/>
  <c r="D11" i="11"/>
  <c r="W10" i="11"/>
  <c r="V10" i="11"/>
  <c r="U10" i="11"/>
  <c r="T10" i="11"/>
  <c r="S10" i="11"/>
  <c r="R10" i="11"/>
  <c r="Q10" i="11"/>
  <c r="P10" i="11"/>
  <c r="O10" i="11"/>
  <c r="N10" i="11"/>
  <c r="M10" i="11"/>
  <c r="L10" i="11"/>
  <c r="K10" i="11"/>
  <c r="J10" i="11"/>
  <c r="I10" i="11"/>
  <c r="H10" i="11"/>
  <c r="G10" i="11"/>
  <c r="F10" i="11"/>
  <c r="E10" i="11"/>
  <c r="D10" i="11"/>
  <c r="W9" i="11"/>
  <c r="V9" i="11"/>
  <c r="U9" i="11"/>
  <c r="T9" i="11"/>
  <c r="S9" i="11"/>
  <c r="R9" i="11"/>
  <c r="Q9" i="11"/>
  <c r="P9" i="11"/>
  <c r="O9" i="11"/>
  <c r="N9" i="11"/>
  <c r="M9" i="11"/>
  <c r="L9" i="11"/>
  <c r="K9" i="11"/>
  <c r="J9" i="11"/>
  <c r="I9" i="11"/>
  <c r="H9" i="11"/>
  <c r="G9" i="11"/>
  <c r="F9" i="11"/>
  <c r="E9" i="11"/>
  <c r="D9" i="11"/>
  <c r="W8" i="11"/>
  <c r="V8" i="11"/>
  <c r="U8" i="11"/>
  <c r="T8" i="11"/>
  <c r="S8" i="11"/>
  <c r="R8" i="11"/>
  <c r="Q8" i="11"/>
  <c r="P8" i="11"/>
  <c r="O8" i="11"/>
  <c r="N8" i="11"/>
  <c r="M8" i="11"/>
  <c r="L8" i="11"/>
  <c r="K8" i="11"/>
  <c r="J8" i="11"/>
  <c r="I8" i="11"/>
  <c r="H8" i="11"/>
  <c r="G8" i="11"/>
  <c r="F8" i="11"/>
  <c r="E8" i="11"/>
  <c r="D8" i="11"/>
  <c r="W7" i="11"/>
  <c r="V7" i="11"/>
  <c r="U7" i="11"/>
  <c r="T7" i="11"/>
  <c r="S7" i="11"/>
  <c r="R7" i="11"/>
  <c r="Q7" i="11"/>
  <c r="P7" i="11"/>
  <c r="O7" i="11"/>
  <c r="N7" i="11"/>
  <c r="M7" i="11"/>
  <c r="L7" i="11"/>
  <c r="K7" i="11"/>
  <c r="J7" i="11"/>
  <c r="I7" i="11"/>
  <c r="H7" i="11"/>
  <c r="G7" i="11"/>
  <c r="F7" i="11"/>
  <c r="E7" i="11"/>
  <c r="D7" i="11"/>
  <c r="D8" i="6"/>
  <c r="E8" i="6"/>
  <c r="F8" i="6"/>
  <c r="G8" i="6"/>
  <c r="H8" i="6"/>
  <c r="I8" i="6"/>
  <c r="J8" i="6"/>
  <c r="K8" i="6"/>
  <c r="L8" i="6"/>
  <c r="M8" i="6"/>
  <c r="N8" i="6"/>
  <c r="O8" i="6"/>
  <c r="P8" i="6"/>
  <c r="Q8" i="6"/>
  <c r="R8" i="6"/>
  <c r="S8" i="6"/>
  <c r="T8" i="6"/>
  <c r="U8" i="6"/>
  <c r="V8" i="6"/>
  <c r="W8" i="6"/>
  <c r="D9" i="6"/>
  <c r="E9" i="6"/>
  <c r="F9" i="6"/>
  <c r="G9" i="6"/>
  <c r="H9" i="6"/>
  <c r="I9" i="6"/>
  <c r="J9" i="6"/>
  <c r="K9" i="6"/>
  <c r="L9" i="6"/>
  <c r="M9" i="6"/>
  <c r="N9" i="6"/>
  <c r="O9" i="6"/>
  <c r="P9" i="6"/>
  <c r="Q9" i="6"/>
  <c r="R9" i="6"/>
  <c r="S9" i="6"/>
  <c r="T9" i="6"/>
  <c r="U9" i="6"/>
  <c r="V9" i="6"/>
  <c r="W9" i="6"/>
  <c r="D10" i="6"/>
  <c r="E10" i="6"/>
  <c r="F10" i="6"/>
  <c r="G10" i="6"/>
  <c r="H10" i="6"/>
  <c r="I10" i="6"/>
  <c r="J10" i="6"/>
  <c r="K10" i="6"/>
  <c r="L10" i="6"/>
  <c r="M10" i="6"/>
  <c r="N10" i="6"/>
  <c r="O10" i="6"/>
  <c r="P10" i="6"/>
  <c r="Q10" i="6"/>
  <c r="R10" i="6"/>
  <c r="S10" i="6"/>
  <c r="T10" i="6"/>
  <c r="U10" i="6"/>
  <c r="V10" i="6"/>
  <c r="W10" i="6"/>
  <c r="D11" i="6"/>
  <c r="E11" i="6"/>
  <c r="F11" i="6"/>
  <c r="G11" i="6"/>
  <c r="H11" i="6"/>
  <c r="I11" i="6"/>
  <c r="J11" i="6"/>
  <c r="K11" i="6"/>
  <c r="L11" i="6"/>
  <c r="M11" i="6"/>
  <c r="N11" i="6"/>
  <c r="O11" i="6"/>
  <c r="P11" i="6"/>
  <c r="Q11" i="6"/>
  <c r="R11" i="6"/>
  <c r="S11" i="6"/>
  <c r="T11" i="6"/>
  <c r="U11" i="6"/>
  <c r="V11" i="6"/>
  <c r="W11" i="6"/>
  <c r="K7" i="6"/>
  <c r="J7" i="6"/>
  <c r="I7" i="6"/>
  <c r="H7" i="6"/>
  <c r="G7" i="6"/>
  <c r="F7" i="6"/>
  <c r="E7" i="6"/>
  <c r="D7" i="6"/>
  <c r="L7" i="6"/>
  <c r="M7" i="6"/>
  <c r="N7" i="6"/>
  <c r="O7" i="6"/>
  <c r="P7" i="6"/>
  <c r="Q7" i="6"/>
  <c r="R7" i="6"/>
  <c r="S7" i="6"/>
  <c r="T7" i="6"/>
  <c r="U7" i="6"/>
  <c r="V7" i="6"/>
  <c r="W7" i="6"/>
  <c r="D33" i="6"/>
  <c r="D27" i="6"/>
  <c r="D28" i="6"/>
  <c r="D29" i="6"/>
  <c r="D30" i="6"/>
  <c r="D31" i="6"/>
  <c r="D32" i="6"/>
  <c r="C15" i="6" s="1"/>
  <c r="D26" i="6"/>
  <c r="D4" i="5"/>
  <c r="D5" i="5"/>
  <c r="D6" i="5"/>
  <c r="D7" i="5"/>
  <c r="D8" i="5"/>
  <c r="D9" i="5"/>
  <c r="D10" i="5"/>
  <c r="D11" i="5"/>
  <c r="D12" i="5"/>
  <c r="D13" i="5"/>
  <c r="D14" i="5"/>
  <c r="D15" i="5"/>
  <c r="D16" i="5"/>
  <c r="D17" i="5"/>
  <c r="D18" i="5"/>
  <c r="D3" i="5"/>
  <c r="K9" i="23" l="1"/>
  <c r="K10" i="23" s="1"/>
  <c r="C19" i="13"/>
  <c r="C17" i="13"/>
  <c r="G17" i="13"/>
  <c r="K17" i="13"/>
  <c r="O17" i="13"/>
  <c r="S17" i="13"/>
  <c r="W17" i="13"/>
  <c r="E15" i="11"/>
  <c r="I15" i="11"/>
  <c r="M15" i="11"/>
  <c r="Q15" i="11"/>
  <c r="U15" i="11"/>
  <c r="F15" i="11"/>
  <c r="J15" i="11"/>
  <c r="N15" i="11"/>
  <c r="R15" i="11"/>
  <c r="V15" i="11"/>
  <c r="E15" i="12"/>
  <c r="I15" i="12"/>
  <c r="M15" i="12"/>
  <c r="Q15" i="12"/>
  <c r="U15" i="12"/>
  <c r="D17" i="13"/>
  <c r="H17" i="13"/>
  <c r="L17" i="13"/>
  <c r="P17" i="13"/>
  <c r="T17" i="13"/>
  <c r="D18" i="13"/>
  <c r="P18" i="13"/>
  <c r="T18" i="13"/>
  <c r="D19" i="13"/>
  <c r="H19" i="13"/>
  <c r="L19" i="13"/>
  <c r="P19" i="13"/>
  <c r="T19" i="13"/>
  <c r="C18" i="13"/>
  <c r="H18" i="13" s="1"/>
  <c r="E16" i="14"/>
  <c r="I16" i="14"/>
  <c r="M16" i="14"/>
  <c r="Q16" i="14"/>
  <c r="U16" i="14"/>
  <c r="E17" i="14"/>
  <c r="I17" i="14"/>
  <c r="M17" i="14"/>
  <c r="Q17" i="14"/>
  <c r="U17" i="14"/>
  <c r="M18" i="14"/>
  <c r="Q18" i="14"/>
  <c r="G15" i="16"/>
  <c r="K15" i="16"/>
  <c r="O15" i="16"/>
  <c r="W15" i="16"/>
  <c r="O15" i="11"/>
  <c r="F15" i="12"/>
  <c r="J15" i="12"/>
  <c r="N15" i="12"/>
  <c r="R15" i="12"/>
  <c r="V15" i="12"/>
  <c r="C18" i="12"/>
  <c r="D18" i="12" s="1"/>
  <c r="E17" i="13"/>
  <c r="I17" i="13"/>
  <c r="M17" i="13"/>
  <c r="Q17" i="13"/>
  <c r="U17" i="13"/>
  <c r="E18" i="13"/>
  <c r="I18" i="13"/>
  <c r="Q18" i="13"/>
  <c r="E19" i="13"/>
  <c r="I19" i="13"/>
  <c r="M19" i="13"/>
  <c r="Q19" i="13"/>
  <c r="U19" i="13"/>
  <c r="F16" i="14"/>
  <c r="J16" i="14"/>
  <c r="N16" i="14"/>
  <c r="R16" i="14"/>
  <c r="V16" i="14"/>
  <c r="F17" i="14"/>
  <c r="J17" i="14"/>
  <c r="N17" i="14"/>
  <c r="R17" i="14"/>
  <c r="V17" i="14"/>
  <c r="F18" i="14"/>
  <c r="R18" i="14"/>
  <c r="V18" i="14"/>
  <c r="C19" i="15"/>
  <c r="G15" i="11"/>
  <c r="W15" i="11"/>
  <c r="D15" i="11"/>
  <c r="H15" i="11"/>
  <c r="L15" i="11"/>
  <c r="P15" i="11"/>
  <c r="T15" i="11"/>
  <c r="C19" i="11"/>
  <c r="G15" i="12"/>
  <c r="K15" i="12"/>
  <c r="O15" i="12"/>
  <c r="S15" i="12"/>
  <c r="W15" i="12"/>
  <c r="F17" i="13"/>
  <c r="J17" i="13"/>
  <c r="N17" i="13"/>
  <c r="R17" i="13"/>
  <c r="V17" i="13"/>
  <c r="F18" i="13"/>
  <c r="J18" i="13"/>
  <c r="N18" i="13"/>
  <c r="R18" i="13"/>
  <c r="V18" i="13"/>
  <c r="F19" i="13"/>
  <c r="J19" i="13"/>
  <c r="N19" i="13"/>
  <c r="R19" i="13"/>
  <c r="V19" i="13"/>
  <c r="G16" i="14"/>
  <c r="K16" i="14"/>
  <c r="O16" i="14"/>
  <c r="S16" i="14"/>
  <c r="W16" i="14"/>
  <c r="G17" i="14"/>
  <c r="K17" i="14"/>
  <c r="O17" i="14"/>
  <c r="S17" i="14"/>
  <c r="W17" i="14"/>
  <c r="G18" i="14"/>
  <c r="S18" i="14"/>
  <c r="W18" i="14"/>
  <c r="C18" i="14"/>
  <c r="E18" i="14" s="1"/>
  <c r="E15" i="16"/>
  <c r="M15" i="16"/>
  <c r="D15" i="14"/>
  <c r="L15" i="14"/>
  <c r="T15" i="14"/>
  <c r="H16" i="14"/>
  <c r="P16" i="14"/>
  <c r="D17" i="14"/>
  <c r="L17" i="14"/>
  <c r="T17" i="14"/>
  <c r="E15" i="14"/>
  <c r="M15" i="14"/>
  <c r="U15" i="14"/>
  <c r="F15" i="14"/>
  <c r="N15" i="14"/>
  <c r="V15" i="14"/>
  <c r="O15" i="14"/>
  <c r="W15" i="14"/>
  <c r="G15" i="14"/>
  <c r="H15" i="14"/>
  <c r="P15" i="14"/>
  <c r="D16" i="14"/>
  <c r="L16" i="14"/>
  <c r="T16" i="14"/>
  <c r="H17" i="14"/>
  <c r="P17" i="14"/>
  <c r="D18" i="14"/>
  <c r="L18" i="14"/>
  <c r="I15" i="14"/>
  <c r="Q15" i="14"/>
  <c r="J15" i="14"/>
  <c r="R15" i="14"/>
  <c r="K15" i="14"/>
  <c r="S15" i="14"/>
  <c r="C19" i="14"/>
  <c r="D19" i="14" s="1"/>
  <c r="I15" i="15"/>
  <c r="Q15" i="15"/>
  <c r="C16" i="15"/>
  <c r="F16" i="15" s="1"/>
  <c r="J15" i="15"/>
  <c r="R15" i="15"/>
  <c r="C17" i="15"/>
  <c r="E17" i="15" s="1"/>
  <c r="K15" i="15"/>
  <c r="D19" i="15"/>
  <c r="L19" i="15"/>
  <c r="T19" i="15"/>
  <c r="E15" i="15"/>
  <c r="M15" i="15"/>
  <c r="U15" i="15"/>
  <c r="F15" i="15"/>
  <c r="N15" i="15"/>
  <c r="V15" i="15"/>
  <c r="G15" i="15"/>
  <c r="O15" i="15"/>
  <c r="W15" i="15"/>
  <c r="S18" i="12"/>
  <c r="E18" i="12"/>
  <c r="C16" i="12"/>
  <c r="J16" i="12" s="1"/>
  <c r="F18" i="12"/>
  <c r="G18" i="12"/>
  <c r="C19" i="12"/>
  <c r="D19" i="12" s="1"/>
  <c r="H16" i="12"/>
  <c r="Q18" i="12"/>
  <c r="F19" i="11"/>
  <c r="O17" i="11"/>
  <c r="H19" i="11"/>
  <c r="P19" i="11"/>
  <c r="I19" i="11"/>
  <c r="Q19" i="11"/>
  <c r="C16" i="11"/>
  <c r="P16" i="11" s="1"/>
  <c r="V19" i="11"/>
  <c r="J19" i="11"/>
  <c r="R19" i="11"/>
  <c r="N19" i="11"/>
  <c r="S17" i="11"/>
  <c r="D19" i="11"/>
  <c r="L19" i="11"/>
  <c r="T19" i="11"/>
  <c r="C17" i="11"/>
  <c r="H17" i="11" s="1"/>
  <c r="E19" i="11"/>
  <c r="M19" i="11"/>
  <c r="U19" i="11"/>
  <c r="C17" i="16"/>
  <c r="I17" i="16" s="1"/>
  <c r="S15" i="16"/>
  <c r="C16" i="16"/>
  <c r="P16" i="16" s="1"/>
  <c r="U15" i="16"/>
  <c r="Q16" i="16"/>
  <c r="E17" i="16"/>
  <c r="J16" i="16"/>
  <c r="F17" i="16"/>
  <c r="N17" i="16"/>
  <c r="K16" i="16"/>
  <c r="S16" i="16"/>
  <c r="G17" i="16"/>
  <c r="O17" i="16"/>
  <c r="W17" i="16"/>
  <c r="C18" i="16"/>
  <c r="F18" i="16" s="1"/>
  <c r="T15" i="16"/>
  <c r="L15" i="16"/>
  <c r="D15" i="16"/>
  <c r="R15" i="16"/>
  <c r="J15" i="16"/>
  <c r="P15" i="16"/>
  <c r="H15" i="16"/>
  <c r="I15" i="16"/>
  <c r="Q15" i="16"/>
  <c r="E16" i="16"/>
  <c r="U16" i="16"/>
  <c r="J17" i="16"/>
  <c r="P17" i="16"/>
  <c r="H17" i="16"/>
  <c r="T17" i="16"/>
  <c r="L17" i="16"/>
  <c r="F16" i="16"/>
  <c r="V16" i="16"/>
  <c r="W16" i="16"/>
  <c r="O16" i="16"/>
  <c r="G16" i="16"/>
  <c r="T16" i="16"/>
  <c r="D16" i="16"/>
  <c r="C19" i="16"/>
  <c r="I19" i="16" s="1"/>
  <c r="E19" i="15"/>
  <c r="M19" i="15"/>
  <c r="U19" i="15"/>
  <c r="F19" i="15"/>
  <c r="N19" i="15"/>
  <c r="V19" i="15"/>
  <c r="H19" i="15"/>
  <c r="P19" i="15"/>
  <c r="I19" i="15"/>
  <c r="Q19" i="15"/>
  <c r="J19" i="15"/>
  <c r="R19" i="15"/>
  <c r="D17" i="15"/>
  <c r="G17" i="15"/>
  <c r="O17" i="15"/>
  <c r="Q17" i="15"/>
  <c r="P16" i="15"/>
  <c r="D15" i="15"/>
  <c r="L15" i="15"/>
  <c r="T15" i="15"/>
  <c r="H15" i="15"/>
  <c r="P15" i="15"/>
  <c r="W16" i="15"/>
  <c r="S15" i="15"/>
  <c r="W19" i="15"/>
  <c r="R17" i="15"/>
  <c r="J17" i="15"/>
  <c r="R16" i="15"/>
  <c r="K19" i="15"/>
  <c r="S19" i="15"/>
  <c r="S16" i="15"/>
  <c r="P18" i="15"/>
  <c r="G19" i="15"/>
  <c r="O19" i="15"/>
  <c r="G16" i="15"/>
  <c r="S15" i="13"/>
  <c r="H18" i="14"/>
  <c r="P18" i="14"/>
  <c r="W19" i="11"/>
  <c r="W19" i="13"/>
  <c r="H19" i="12"/>
  <c r="M18" i="13"/>
  <c r="U18" i="13"/>
  <c r="G18" i="13"/>
  <c r="O18" i="13"/>
  <c r="W18" i="13"/>
  <c r="F19" i="12"/>
  <c r="R19" i="12"/>
  <c r="E19" i="12"/>
  <c r="U19" i="12"/>
  <c r="K18" i="13"/>
  <c r="S18" i="13"/>
  <c r="C17" i="12"/>
  <c r="J17" i="12" s="1"/>
  <c r="W15" i="13"/>
  <c r="K19" i="13"/>
  <c r="S19" i="13"/>
  <c r="C16" i="13"/>
  <c r="O16" i="13" s="1"/>
  <c r="G19" i="13"/>
  <c r="O19" i="13"/>
  <c r="S15" i="11"/>
  <c r="W16" i="11"/>
  <c r="F17" i="11"/>
  <c r="N17" i="11"/>
  <c r="V17" i="11"/>
  <c r="K19" i="11"/>
  <c r="S19" i="11"/>
  <c r="C18" i="11"/>
  <c r="F18" i="11" s="1"/>
  <c r="K15" i="11"/>
  <c r="G19" i="11"/>
  <c r="O19" i="11"/>
  <c r="G16" i="11"/>
  <c r="C18" i="6"/>
  <c r="I18" i="6" s="1"/>
  <c r="C19" i="6"/>
  <c r="D19" i="6" s="1"/>
  <c r="C16" i="6"/>
  <c r="Q16" i="6" s="1"/>
  <c r="C17" i="6"/>
  <c r="E17" i="6" s="1"/>
  <c r="G15" i="6"/>
  <c r="F15" i="6"/>
  <c r="N15" i="6"/>
  <c r="V15" i="6"/>
  <c r="J15" i="6"/>
  <c r="H15" i="6"/>
  <c r="P15" i="6"/>
  <c r="I15" i="6"/>
  <c r="Q15" i="6"/>
  <c r="R15" i="6"/>
  <c r="K15" i="6"/>
  <c r="S15" i="6"/>
  <c r="D15" i="6"/>
  <c r="L15" i="6"/>
  <c r="T15" i="6"/>
  <c r="E15" i="6"/>
  <c r="M15" i="6"/>
  <c r="U15" i="6"/>
  <c r="O15" i="6"/>
  <c r="W15" i="6"/>
  <c r="L9" i="23" l="1"/>
  <c r="L10" i="23" s="1"/>
  <c r="L16" i="13"/>
  <c r="H16" i="11"/>
  <c r="M16" i="11"/>
  <c r="T18" i="11"/>
  <c r="K16" i="15"/>
  <c r="O16" i="12"/>
  <c r="T18" i="12"/>
  <c r="K16" i="11"/>
  <c r="P18" i="11"/>
  <c r="T19" i="12"/>
  <c r="V19" i="12"/>
  <c r="G19" i="12"/>
  <c r="O19" i="12"/>
  <c r="F17" i="15"/>
  <c r="L16" i="15"/>
  <c r="P17" i="15"/>
  <c r="U17" i="15"/>
  <c r="T18" i="16"/>
  <c r="Q16" i="11"/>
  <c r="F16" i="11"/>
  <c r="F20" i="11" s="1"/>
  <c r="R18" i="12"/>
  <c r="P18" i="12"/>
  <c r="W18" i="12"/>
  <c r="V18" i="12"/>
  <c r="U18" i="12"/>
  <c r="L18" i="12"/>
  <c r="T18" i="14"/>
  <c r="O18" i="14"/>
  <c r="N18" i="14"/>
  <c r="I18" i="14"/>
  <c r="L18" i="13"/>
  <c r="I16" i="15"/>
  <c r="S16" i="11"/>
  <c r="T16" i="13"/>
  <c r="T20" i="13" s="1"/>
  <c r="J16" i="15"/>
  <c r="N18" i="16"/>
  <c r="N16" i="11"/>
  <c r="I18" i="12"/>
  <c r="K18" i="12"/>
  <c r="O16" i="11"/>
  <c r="R18" i="11"/>
  <c r="M18" i="11"/>
  <c r="R16" i="13"/>
  <c r="R20" i="13" s="1"/>
  <c r="J19" i="12"/>
  <c r="Q19" i="12"/>
  <c r="P19" i="12"/>
  <c r="V17" i="15"/>
  <c r="D16" i="15"/>
  <c r="H17" i="15"/>
  <c r="L17" i="15"/>
  <c r="W18" i="16"/>
  <c r="L17" i="11"/>
  <c r="U16" i="11"/>
  <c r="L16" i="11"/>
  <c r="J18" i="12"/>
  <c r="J20" i="12" s="1"/>
  <c r="H18" i="12"/>
  <c r="O18" i="12"/>
  <c r="N18" i="12"/>
  <c r="M18" i="12"/>
  <c r="K17" i="15"/>
  <c r="D20" i="14"/>
  <c r="D22" i="14" s="1"/>
  <c r="K18" i="14"/>
  <c r="J18" i="14"/>
  <c r="U18" i="14"/>
  <c r="D16" i="13"/>
  <c r="D20" i="13" s="1"/>
  <c r="Q16" i="13"/>
  <c r="Q20" i="13" s="1"/>
  <c r="I16" i="13"/>
  <c r="I20" i="13" s="1"/>
  <c r="U16" i="13"/>
  <c r="U20" i="13" s="1"/>
  <c r="M16" i="13"/>
  <c r="M20" i="13" s="1"/>
  <c r="S16" i="13"/>
  <c r="P16" i="13"/>
  <c r="P20" i="13" s="1"/>
  <c r="K16" i="13"/>
  <c r="K20" i="13" s="1"/>
  <c r="F16" i="13"/>
  <c r="F20" i="13" s="1"/>
  <c r="J19" i="14"/>
  <c r="H19" i="14"/>
  <c r="M19" i="14"/>
  <c r="M20" i="14" s="1"/>
  <c r="V19" i="14"/>
  <c r="E19" i="14"/>
  <c r="E20" i="14" s="1"/>
  <c r="N19" i="14"/>
  <c r="N20" i="14" s="1"/>
  <c r="S19" i="14"/>
  <c r="S20" i="14" s="1"/>
  <c r="Q19" i="14"/>
  <c r="F19" i="14"/>
  <c r="H20" i="14"/>
  <c r="K19" i="14"/>
  <c r="K20" i="14" s="1"/>
  <c r="I19" i="14"/>
  <c r="W19" i="14"/>
  <c r="W20" i="14" s="1"/>
  <c r="V20" i="14"/>
  <c r="Q20" i="14"/>
  <c r="O19" i="14"/>
  <c r="T19" i="14"/>
  <c r="I20" i="14"/>
  <c r="G19" i="14"/>
  <c r="G20" i="14" s="1"/>
  <c r="F20" i="14"/>
  <c r="L19" i="14"/>
  <c r="L20" i="14" s="1"/>
  <c r="R19" i="14"/>
  <c r="R20" i="14" s="1"/>
  <c r="P19" i="14"/>
  <c r="P20" i="14" s="1"/>
  <c r="U19" i="14"/>
  <c r="O16" i="15"/>
  <c r="T16" i="15"/>
  <c r="W17" i="15"/>
  <c r="Q16" i="15"/>
  <c r="S17" i="15"/>
  <c r="I17" i="15"/>
  <c r="U16" i="15"/>
  <c r="N17" i="15"/>
  <c r="H16" i="15"/>
  <c r="T17" i="15"/>
  <c r="V16" i="15"/>
  <c r="M16" i="15"/>
  <c r="N16" i="15"/>
  <c r="E16" i="15"/>
  <c r="M17" i="15"/>
  <c r="W19" i="12"/>
  <c r="M19" i="12"/>
  <c r="N19" i="12"/>
  <c r="I19" i="12"/>
  <c r="I16" i="12"/>
  <c r="S19" i="12"/>
  <c r="N16" i="12"/>
  <c r="T16" i="12"/>
  <c r="L19" i="12"/>
  <c r="K19" i="12"/>
  <c r="L16" i="12"/>
  <c r="U16" i="12"/>
  <c r="D16" i="12"/>
  <c r="M16" i="12"/>
  <c r="R16" i="12"/>
  <c r="V16" i="12"/>
  <c r="E16" i="12"/>
  <c r="P16" i="12"/>
  <c r="W16" i="12"/>
  <c r="F16" i="12"/>
  <c r="S16" i="12"/>
  <c r="K16" i="12"/>
  <c r="Q16" i="12"/>
  <c r="G16" i="12"/>
  <c r="Q18" i="11"/>
  <c r="V16" i="11"/>
  <c r="I17" i="11"/>
  <c r="T16" i="11"/>
  <c r="W18" i="11"/>
  <c r="I18" i="11"/>
  <c r="U17" i="11"/>
  <c r="K17" i="11"/>
  <c r="D16" i="11"/>
  <c r="O18" i="11"/>
  <c r="H18" i="11"/>
  <c r="H20" i="11" s="1"/>
  <c r="M17" i="11"/>
  <c r="M20" i="11" s="1"/>
  <c r="E16" i="11"/>
  <c r="R16" i="11"/>
  <c r="U18" i="11"/>
  <c r="G18" i="11"/>
  <c r="G20" i="11" s="1"/>
  <c r="E17" i="11"/>
  <c r="T17" i="11"/>
  <c r="W17" i="11"/>
  <c r="L18" i="11"/>
  <c r="L20" i="11" s="1"/>
  <c r="J18" i="11"/>
  <c r="I16" i="11"/>
  <c r="D17" i="11"/>
  <c r="R17" i="11"/>
  <c r="P17" i="11"/>
  <c r="P20" i="11" s="1"/>
  <c r="G17" i="11"/>
  <c r="D18" i="11"/>
  <c r="D20" i="11" s="1"/>
  <c r="J16" i="11"/>
  <c r="J17" i="11"/>
  <c r="Q17" i="11"/>
  <c r="Q19" i="6"/>
  <c r="N18" i="6"/>
  <c r="R19" i="6"/>
  <c r="G19" i="6"/>
  <c r="F19" i="6"/>
  <c r="O19" i="6"/>
  <c r="H16" i="16"/>
  <c r="V18" i="16"/>
  <c r="R16" i="16"/>
  <c r="I16" i="16"/>
  <c r="O18" i="16"/>
  <c r="G18" i="16"/>
  <c r="U18" i="16"/>
  <c r="N19" i="16"/>
  <c r="L18" i="16"/>
  <c r="Q18" i="16"/>
  <c r="S17" i="16"/>
  <c r="M18" i="16"/>
  <c r="F19" i="16"/>
  <c r="F20" i="16" s="1"/>
  <c r="N16" i="16"/>
  <c r="R17" i="16"/>
  <c r="D18" i="16"/>
  <c r="R18" i="16"/>
  <c r="I18" i="16"/>
  <c r="P18" i="16"/>
  <c r="K17" i="16"/>
  <c r="E18" i="16"/>
  <c r="S18" i="16"/>
  <c r="J18" i="16"/>
  <c r="U17" i="16"/>
  <c r="H18" i="16"/>
  <c r="Q17" i="16"/>
  <c r="L16" i="16"/>
  <c r="D17" i="16"/>
  <c r="M16" i="16"/>
  <c r="K18" i="16"/>
  <c r="V17" i="16"/>
  <c r="M17" i="16"/>
  <c r="O19" i="16"/>
  <c r="G19" i="16"/>
  <c r="G20" i="16" s="1"/>
  <c r="W19" i="16"/>
  <c r="W20" i="16" s="1"/>
  <c r="S19" i="16"/>
  <c r="Q19" i="16"/>
  <c r="V19" i="16"/>
  <c r="K19" i="16"/>
  <c r="P19" i="16"/>
  <c r="H19" i="16"/>
  <c r="U19" i="16"/>
  <c r="M19" i="16"/>
  <c r="E19" i="16"/>
  <c r="T19" i="16"/>
  <c r="L19" i="16"/>
  <c r="D19" i="16"/>
  <c r="R19" i="16"/>
  <c r="J19" i="16"/>
  <c r="T20" i="16"/>
  <c r="P20" i="15"/>
  <c r="W18" i="15"/>
  <c r="O18" i="15"/>
  <c r="T18" i="15"/>
  <c r="R18" i="15"/>
  <c r="R20" i="15" s="1"/>
  <c r="G18" i="15"/>
  <c r="G20" i="15" s="1"/>
  <c r="L18" i="15"/>
  <c r="J18" i="15"/>
  <c r="J20" i="15" s="1"/>
  <c r="U18" i="15"/>
  <c r="U20" i="15" s="1"/>
  <c r="D18" i="15"/>
  <c r="S18" i="15"/>
  <c r="S20" i="15" s="1"/>
  <c r="M18" i="15"/>
  <c r="K18" i="15"/>
  <c r="K20" i="15" s="1"/>
  <c r="V18" i="15"/>
  <c r="E18" i="15"/>
  <c r="I18" i="15"/>
  <c r="N18" i="15"/>
  <c r="N20" i="15" s="1"/>
  <c r="Q18" i="15"/>
  <c r="Q20" i="15" s="1"/>
  <c r="F18" i="15"/>
  <c r="F20" i="15" s="1"/>
  <c r="H18" i="15"/>
  <c r="O20" i="13"/>
  <c r="D21" i="14"/>
  <c r="S20" i="13"/>
  <c r="D17" i="12"/>
  <c r="W17" i="12"/>
  <c r="S17" i="12"/>
  <c r="S20" i="12" s="1"/>
  <c r="O17" i="12"/>
  <c r="O20" i="12" s="1"/>
  <c r="F17" i="12"/>
  <c r="K17" i="12"/>
  <c r="Q17" i="12"/>
  <c r="Q20" i="12" s="1"/>
  <c r="U17" i="12"/>
  <c r="U20" i="12" s="1"/>
  <c r="E17" i="12"/>
  <c r="R17" i="12"/>
  <c r="V16" i="13"/>
  <c r="V20" i="13" s="1"/>
  <c r="I17" i="12"/>
  <c r="I20" i="12" s="1"/>
  <c r="N17" i="12"/>
  <c r="G16" i="13"/>
  <c r="G20" i="13" s="1"/>
  <c r="M17" i="12"/>
  <c r="T17" i="12"/>
  <c r="T20" i="12" s="1"/>
  <c r="N16" i="13"/>
  <c r="N20" i="13" s="1"/>
  <c r="P17" i="12"/>
  <c r="H17" i="12"/>
  <c r="L17" i="12"/>
  <c r="L20" i="12" s="1"/>
  <c r="W16" i="13"/>
  <c r="W20" i="13" s="1"/>
  <c r="E16" i="13"/>
  <c r="E20" i="13" s="1"/>
  <c r="V17" i="12"/>
  <c r="J16" i="13"/>
  <c r="J20" i="13" s="1"/>
  <c r="H16" i="13"/>
  <c r="H20" i="13" s="1"/>
  <c r="G17" i="12"/>
  <c r="N18" i="11"/>
  <c r="N20" i="11" s="1"/>
  <c r="S18" i="11"/>
  <c r="S20" i="11" s="1"/>
  <c r="V18" i="11"/>
  <c r="V20" i="11" s="1"/>
  <c r="E18" i="11"/>
  <c r="K18" i="11"/>
  <c r="K20" i="11" s="1"/>
  <c r="K22" i="11" s="1"/>
  <c r="N19" i="6"/>
  <c r="V19" i="6"/>
  <c r="I16" i="6"/>
  <c r="I19" i="6"/>
  <c r="W19" i="6"/>
  <c r="S19" i="6"/>
  <c r="P19" i="6"/>
  <c r="J18" i="6"/>
  <c r="M17" i="6"/>
  <c r="V18" i="6"/>
  <c r="E19" i="6"/>
  <c r="K18" i="6"/>
  <c r="K19" i="6"/>
  <c r="Q18" i="6"/>
  <c r="H18" i="6"/>
  <c r="J19" i="6"/>
  <c r="T19" i="6"/>
  <c r="M19" i="6"/>
  <c r="H19" i="6"/>
  <c r="R17" i="6"/>
  <c r="F18" i="6"/>
  <c r="H17" i="6"/>
  <c r="U19" i="6"/>
  <c r="L19" i="6"/>
  <c r="L16" i="6"/>
  <c r="U16" i="6"/>
  <c r="W16" i="6"/>
  <c r="K16" i="6"/>
  <c r="R16" i="6"/>
  <c r="P18" i="6"/>
  <c r="G18" i="6"/>
  <c r="J17" i="6"/>
  <c r="R18" i="6"/>
  <c r="M18" i="6"/>
  <c r="W18" i="6"/>
  <c r="U18" i="6"/>
  <c r="D17" i="6"/>
  <c r="T17" i="6"/>
  <c r="U17" i="6"/>
  <c r="N16" i="6"/>
  <c r="P16" i="6"/>
  <c r="J16" i="6"/>
  <c r="G16" i="6"/>
  <c r="M16" i="6"/>
  <c r="D16" i="6"/>
  <c r="T16" i="6"/>
  <c r="S16" i="6"/>
  <c r="V17" i="6"/>
  <c r="S17" i="6"/>
  <c r="E16" i="6"/>
  <c r="I17" i="6"/>
  <c r="F16" i="6"/>
  <c r="K17" i="6"/>
  <c r="Q17" i="6"/>
  <c r="H16" i="6"/>
  <c r="V16" i="6"/>
  <c r="O16" i="6"/>
  <c r="T18" i="6"/>
  <c r="D18" i="6"/>
  <c r="S18" i="6"/>
  <c r="O18" i="6"/>
  <c r="L18" i="6"/>
  <c r="E18" i="6"/>
  <c r="P17" i="6"/>
  <c r="W17" i="6"/>
  <c r="O17" i="6"/>
  <c r="N17" i="6"/>
  <c r="L17" i="6"/>
  <c r="G17" i="6"/>
  <c r="F17" i="6"/>
  <c r="M9" i="23" l="1"/>
  <c r="M10" i="23" s="1"/>
  <c r="G21" i="11"/>
  <c r="G22" i="11"/>
  <c r="J21" i="12"/>
  <c r="J22" i="12"/>
  <c r="M21" i="11"/>
  <c r="M22" i="11"/>
  <c r="F21" i="11"/>
  <c r="F22" i="11"/>
  <c r="N21" i="11"/>
  <c r="N22" i="11"/>
  <c r="L21" i="12"/>
  <c r="L22" i="12"/>
  <c r="I21" i="12"/>
  <c r="I22" i="12"/>
  <c r="O21" i="12"/>
  <c r="O22" i="12"/>
  <c r="O21" i="13"/>
  <c r="O22" i="13"/>
  <c r="K21" i="15"/>
  <c r="K22" i="15"/>
  <c r="R21" i="15"/>
  <c r="R22" i="15"/>
  <c r="W21" i="16"/>
  <c r="W22" i="16"/>
  <c r="D21" i="11"/>
  <c r="D22" i="11"/>
  <c r="P21" i="14"/>
  <c r="P22" i="14"/>
  <c r="K21" i="14"/>
  <c r="K22" i="14"/>
  <c r="M21" i="14"/>
  <c r="M22" i="14"/>
  <c r="U21" i="13"/>
  <c r="U22" i="13"/>
  <c r="V20" i="12"/>
  <c r="V21" i="13"/>
  <c r="V22" i="13"/>
  <c r="S21" i="12"/>
  <c r="S22" i="12"/>
  <c r="J21" i="15"/>
  <c r="J22" i="15"/>
  <c r="T21" i="16"/>
  <c r="T22" i="16"/>
  <c r="N20" i="16"/>
  <c r="I21" i="14"/>
  <c r="I22" i="14"/>
  <c r="N21" i="14"/>
  <c r="N22" i="14"/>
  <c r="P21" i="13"/>
  <c r="P22" i="13"/>
  <c r="R21" i="13"/>
  <c r="R22" i="13"/>
  <c r="V21" i="11"/>
  <c r="V22" i="11"/>
  <c r="G20" i="12"/>
  <c r="E21" i="13"/>
  <c r="E22" i="13"/>
  <c r="G21" i="13"/>
  <c r="G22" i="13"/>
  <c r="R20" i="12"/>
  <c r="W20" i="12"/>
  <c r="F21" i="15"/>
  <c r="F22" i="15"/>
  <c r="S21" i="15"/>
  <c r="S22" i="15"/>
  <c r="L20" i="15"/>
  <c r="Q20" i="16"/>
  <c r="F21" i="16"/>
  <c r="F22" i="16"/>
  <c r="T20" i="11"/>
  <c r="O20" i="11"/>
  <c r="L21" i="14"/>
  <c r="L22" i="14"/>
  <c r="T20" i="14"/>
  <c r="W21" i="14"/>
  <c r="W22" i="14"/>
  <c r="E21" i="14"/>
  <c r="E22" i="14"/>
  <c r="J20" i="14"/>
  <c r="Q21" i="13"/>
  <c r="Q22" i="13"/>
  <c r="T21" i="13"/>
  <c r="T22" i="13"/>
  <c r="J21" i="13"/>
  <c r="J22" i="13"/>
  <c r="T21" i="12"/>
  <c r="T22" i="12"/>
  <c r="U21" i="12"/>
  <c r="U22" i="12"/>
  <c r="S21" i="13"/>
  <c r="S22" i="13"/>
  <c r="N21" i="15"/>
  <c r="N22" i="15"/>
  <c r="U21" i="15"/>
  <c r="U22" i="15"/>
  <c r="P21" i="15"/>
  <c r="P22" i="15"/>
  <c r="L21" i="11"/>
  <c r="L22" i="11"/>
  <c r="G21" i="14"/>
  <c r="G22" i="14"/>
  <c r="Q21" i="14"/>
  <c r="Q22" i="14"/>
  <c r="S21" i="14"/>
  <c r="S22" i="14"/>
  <c r="K21" i="13"/>
  <c r="K22" i="13"/>
  <c r="H20" i="12"/>
  <c r="Q21" i="12"/>
  <c r="Q22" i="12"/>
  <c r="I20" i="15"/>
  <c r="G21" i="16"/>
  <c r="G22" i="16"/>
  <c r="H21" i="11"/>
  <c r="H22" i="11"/>
  <c r="R21" i="14"/>
  <c r="R22" i="14"/>
  <c r="V21" i="14"/>
  <c r="V22" i="14"/>
  <c r="H21" i="14"/>
  <c r="H22" i="14"/>
  <c r="I21" i="13"/>
  <c r="I22" i="13"/>
  <c r="S21" i="11"/>
  <c r="S22" i="11"/>
  <c r="H21" i="13"/>
  <c r="H22" i="13"/>
  <c r="W21" i="13"/>
  <c r="W22" i="13"/>
  <c r="N21" i="13"/>
  <c r="N22" i="13"/>
  <c r="F20" i="12"/>
  <c r="Q21" i="15"/>
  <c r="Q22" i="15"/>
  <c r="V20" i="15"/>
  <c r="D20" i="15"/>
  <c r="D22" i="15" s="1"/>
  <c r="G21" i="15"/>
  <c r="G22" i="15"/>
  <c r="I20" i="16"/>
  <c r="P21" i="11"/>
  <c r="P22" i="11"/>
  <c r="W20" i="11"/>
  <c r="U20" i="14"/>
  <c r="F21" i="14"/>
  <c r="F22" i="14"/>
  <c r="O20" i="14"/>
  <c r="F21" i="13"/>
  <c r="F22" i="13"/>
  <c r="M21" i="13"/>
  <c r="M22" i="13"/>
  <c r="D21" i="13"/>
  <c r="D22" i="13"/>
  <c r="L20" i="13"/>
  <c r="U20" i="16"/>
  <c r="J20" i="16"/>
  <c r="D20" i="16"/>
  <c r="D22" i="16" s="1"/>
  <c r="K20" i="16"/>
  <c r="L20" i="16"/>
  <c r="V20" i="16"/>
  <c r="S20" i="16"/>
  <c r="M20" i="16"/>
  <c r="P20" i="16"/>
  <c r="W20" i="15"/>
  <c r="H20" i="15"/>
  <c r="T20" i="15"/>
  <c r="R20" i="11"/>
  <c r="E20" i="11"/>
  <c r="M20" i="12"/>
  <c r="K20" i="12"/>
  <c r="P20" i="12"/>
  <c r="X20" i="14"/>
  <c r="E20" i="15"/>
  <c r="M20" i="15"/>
  <c r="O20" i="15"/>
  <c r="E20" i="12"/>
  <c r="D20" i="12"/>
  <c r="N20" i="12"/>
  <c r="J20" i="11"/>
  <c r="Q20" i="11"/>
  <c r="I20" i="11"/>
  <c r="U20" i="11"/>
  <c r="Q20" i="6"/>
  <c r="E20" i="16"/>
  <c r="H20" i="16"/>
  <c r="R20" i="16"/>
  <c r="O20" i="16"/>
  <c r="D21" i="16"/>
  <c r="X20" i="13"/>
  <c r="K21" i="11"/>
  <c r="M20" i="6"/>
  <c r="I20" i="6"/>
  <c r="V20" i="6"/>
  <c r="N20" i="6"/>
  <c r="J20" i="6"/>
  <c r="O20" i="6"/>
  <c r="H20" i="6"/>
  <c r="D20" i="6"/>
  <c r="P20" i="6"/>
  <c r="L20" i="6"/>
  <c r="T20" i="6"/>
  <c r="R20" i="6"/>
  <c r="G20" i="6"/>
  <c r="W20" i="6"/>
  <c r="F20" i="6"/>
  <c r="K20" i="6"/>
  <c r="E20" i="6"/>
  <c r="U20" i="6"/>
  <c r="S20" i="6"/>
  <c r="N9" i="23" l="1"/>
  <c r="N10" i="23" s="1"/>
  <c r="U21" i="6"/>
  <c r="U22" i="6"/>
  <c r="W21" i="6"/>
  <c r="W22" i="6"/>
  <c r="O21" i="6"/>
  <c r="O22" i="6"/>
  <c r="I21" i="6"/>
  <c r="I22" i="6"/>
  <c r="O21" i="16"/>
  <c r="O22" i="16"/>
  <c r="J21" i="11"/>
  <c r="J22" i="11"/>
  <c r="O21" i="15"/>
  <c r="O22" i="15"/>
  <c r="E21" i="11"/>
  <c r="E22" i="11"/>
  <c r="F21" i="12"/>
  <c r="X21" i="12" s="1"/>
  <c r="F22" i="12"/>
  <c r="G21" i="6"/>
  <c r="G22" i="6"/>
  <c r="J21" i="6"/>
  <c r="J22" i="6"/>
  <c r="U21" i="11"/>
  <c r="U22" i="11"/>
  <c r="M21" i="15"/>
  <c r="M22" i="15"/>
  <c r="R21" i="11"/>
  <c r="R22" i="11"/>
  <c r="L21" i="16"/>
  <c r="L22" i="16"/>
  <c r="I21" i="16"/>
  <c r="I22" i="16"/>
  <c r="I21" i="15"/>
  <c r="I22" i="15"/>
  <c r="Q21" i="16"/>
  <c r="Q22" i="16"/>
  <c r="G21" i="12"/>
  <c r="G22" i="12"/>
  <c r="V21" i="12"/>
  <c r="V22" i="12"/>
  <c r="K21" i="6"/>
  <c r="K22" i="6"/>
  <c r="R21" i="6"/>
  <c r="R22" i="6"/>
  <c r="D21" i="6"/>
  <c r="D22" i="6"/>
  <c r="N21" i="6"/>
  <c r="N22" i="6"/>
  <c r="X20" i="11"/>
  <c r="D21" i="15"/>
  <c r="H21" i="16"/>
  <c r="H22" i="16"/>
  <c r="I21" i="11"/>
  <c r="X21" i="11" s="1"/>
  <c r="I22" i="11"/>
  <c r="D21" i="12"/>
  <c r="D22" i="12"/>
  <c r="E21" i="15"/>
  <c r="X21" i="15" s="1"/>
  <c r="E22" i="15"/>
  <c r="K21" i="12"/>
  <c r="K22" i="12"/>
  <c r="T21" i="15"/>
  <c r="T22" i="15"/>
  <c r="M21" i="16"/>
  <c r="M22" i="16"/>
  <c r="K21" i="16"/>
  <c r="K22" i="16"/>
  <c r="L21" i="13"/>
  <c r="X21" i="13" s="1"/>
  <c r="L22" i="13"/>
  <c r="X22" i="13" s="1"/>
  <c r="O21" i="14"/>
  <c r="O22" i="14"/>
  <c r="W21" i="11"/>
  <c r="W22" i="11"/>
  <c r="T21" i="14"/>
  <c r="T22" i="14"/>
  <c r="T21" i="11"/>
  <c r="T22" i="11"/>
  <c r="L21" i="15"/>
  <c r="L22" i="15"/>
  <c r="L21" i="6"/>
  <c r="L22" i="6"/>
  <c r="Q21" i="6"/>
  <c r="Q22" i="6"/>
  <c r="W21" i="15"/>
  <c r="W22" i="15"/>
  <c r="V21" i="16"/>
  <c r="V22" i="16"/>
  <c r="J21" i="16"/>
  <c r="X21" i="16" s="1"/>
  <c r="J22" i="16"/>
  <c r="H21" i="12"/>
  <c r="H22" i="12"/>
  <c r="R21" i="12"/>
  <c r="R22" i="12"/>
  <c r="N21" i="16"/>
  <c r="N22" i="16"/>
  <c r="E21" i="6"/>
  <c r="E22" i="6"/>
  <c r="P21" i="6"/>
  <c r="P22" i="6"/>
  <c r="M21" i="6"/>
  <c r="M22" i="6"/>
  <c r="R21" i="16"/>
  <c r="R22" i="16"/>
  <c r="N21" i="12"/>
  <c r="N22" i="12"/>
  <c r="P21" i="12"/>
  <c r="P22" i="12"/>
  <c r="P21" i="16"/>
  <c r="P22" i="16"/>
  <c r="U21" i="16"/>
  <c r="U22" i="16"/>
  <c r="U21" i="14"/>
  <c r="U22" i="14"/>
  <c r="V21" i="15"/>
  <c r="V22" i="15"/>
  <c r="J21" i="14"/>
  <c r="X21" i="14" s="1"/>
  <c r="J22" i="14"/>
  <c r="X22" i="14" s="1"/>
  <c r="O21" i="11"/>
  <c r="O22" i="11"/>
  <c r="X22" i="11" s="1"/>
  <c r="S21" i="6"/>
  <c r="S22" i="6"/>
  <c r="F21" i="6"/>
  <c r="F22" i="6"/>
  <c r="T21" i="6"/>
  <c r="T22" i="6"/>
  <c r="H21" i="6"/>
  <c r="H22" i="6"/>
  <c r="V21" i="6"/>
  <c r="V22" i="6"/>
  <c r="E21" i="16"/>
  <c r="E22" i="16"/>
  <c r="X22" i="16" s="1"/>
  <c r="Q21" i="11"/>
  <c r="Q22" i="11"/>
  <c r="E21" i="12"/>
  <c r="E22" i="12"/>
  <c r="M21" i="12"/>
  <c r="M22" i="12"/>
  <c r="H21" i="15"/>
  <c r="H22" i="15"/>
  <c r="X22" i="15" s="1"/>
  <c r="S21" i="16"/>
  <c r="S22" i="16"/>
  <c r="W21" i="12"/>
  <c r="W22" i="12"/>
  <c r="X20" i="16"/>
  <c r="X20" i="15"/>
  <c r="X20" i="12"/>
  <c r="X21" i="6"/>
  <c r="X20" i="6"/>
  <c r="O9" i="23" l="1"/>
  <c r="O10" i="23" s="1"/>
  <c r="X22" i="12"/>
  <c r="X22" i="6"/>
  <c r="P9" i="23" l="1"/>
  <c r="P10" i="23" s="1"/>
  <c r="Q9" i="23" l="1"/>
  <c r="Q10" i="23" s="1"/>
  <c r="R9" i="23" l="1"/>
  <c r="R10" i="23" s="1"/>
  <c r="S9" i="23" l="1"/>
  <c r="S10" i="23" s="1"/>
  <c r="T9" i="23" l="1"/>
  <c r="T10" i="23" s="1"/>
  <c r="U9" i="23" l="1"/>
  <c r="U10" i="23" s="1"/>
  <c r="V9" i="23"/>
  <c r="V10" i="23" s="1"/>
  <c r="W10" i="23" l="1"/>
  <c r="W25" i="23" s="1"/>
</calcChain>
</file>

<file path=xl/sharedStrings.xml><?xml version="1.0" encoding="utf-8"?>
<sst xmlns="http://schemas.openxmlformats.org/spreadsheetml/2006/main" count="603" uniqueCount="174">
  <si>
    <t>AIS Level</t>
  </si>
  <si>
    <t>Severity</t>
  </si>
  <si>
    <t>Minor</t>
  </si>
  <si>
    <t>Moderate</t>
  </si>
  <si>
    <t>Serious</t>
  </si>
  <si>
    <t>Severe</t>
  </si>
  <si>
    <t>Critical</t>
  </si>
  <si>
    <t>Unsurvivable</t>
  </si>
  <si>
    <t>Unit Value ($2013)</t>
  </si>
  <si>
    <t>KABCO Level</t>
  </si>
  <si>
    <t>No Injury</t>
  </si>
  <si>
    <t>Possible Injury</t>
  </si>
  <si>
    <t>Incapacitating</t>
  </si>
  <si>
    <t>Killed</t>
  </si>
  <si>
    <t>Anticipated Traffic Growth Rate</t>
  </si>
  <si>
    <t>Not Seasonally Adjusted</t>
  </si>
  <si>
    <t>Notes:</t>
  </si>
  <si>
    <t>Consumer Price Index - All Urban Consumers</t>
  </si>
  <si>
    <t>Original Data Value</t>
  </si>
  <si>
    <t>Series Id:</t>
  </si>
  <si>
    <t>CUUR0000SA0</t>
  </si>
  <si>
    <t>Area:</t>
  </si>
  <si>
    <t>U.S. city average</t>
  </si>
  <si>
    <t>Item:</t>
  </si>
  <si>
    <t>All items</t>
  </si>
  <si>
    <t>Base Period:</t>
  </si>
  <si>
    <t>1982-84=100</t>
  </si>
  <si>
    <t>Years:</t>
  </si>
  <si>
    <t>1980 to 2015</t>
  </si>
  <si>
    <t>Year</t>
  </si>
  <si>
    <t>Jan</t>
  </si>
  <si>
    <t>Feb</t>
  </si>
  <si>
    <t>Mar</t>
  </si>
  <si>
    <t>Apr</t>
  </si>
  <si>
    <t>May</t>
  </si>
  <si>
    <t>Jun</t>
  </si>
  <si>
    <t>Jul</t>
  </si>
  <si>
    <t>Aug</t>
  </si>
  <si>
    <t>Sep</t>
  </si>
  <si>
    <t>Oct</t>
  </si>
  <si>
    <t>Nov</t>
  </si>
  <si>
    <t>Dec</t>
  </si>
  <si>
    <t>HALF1</t>
  </si>
  <si>
    <t>HALF2</t>
  </si>
  <si>
    <t>Nominal Year</t>
  </si>
  <si>
    <t>CPI Deflator</t>
  </si>
  <si>
    <t>CPI Deflator Series</t>
  </si>
  <si>
    <t>2015 CPI Real Value Ratio</t>
  </si>
  <si>
    <t xml:space="preserve">Notes: </t>
  </si>
  <si>
    <t>2. 2015 CPI deflator taken as average of available values from January 2015 to April 2015.</t>
  </si>
  <si>
    <t>1. All urban consumers CPI deflator series used throughout in benefit cost analysis.  Source: BLS.</t>
  </si>
  <si>
    <t>Typical Accident Count</t>
  </si>
  <si>
    <t>Unit Value ($2015)</t>
  </si>
  <si>
    <t>Non-Incapacitating</t>
  </si>
  <si>
    <t>Property Damage</t>
  </si>
  <si>
    <t>No Injury / Property Damage</t>
  </si>
  <si>
    <t>–</t>
  </si>
  <si>
    <t>AIS Equivalent Value ($2015)</t>
  </si>
  <si>
    <t>Proposed Improvement</t>
  </si>
  <si>
    <t>Accident Modification Factor</t>
  </si>
  <si>
    <t>UNADJUSTED SUM</t>
  </si>
  <si>
    <t>GRAND TOTAL</t>
  </si>
  <si>
    <t>Projected Crashes by Year</t>
  </si>
  <si>
    <t>Value Stream</t>
  </si>
  <si>
    <t>Assumptions</t>
  </si>
  <si>
    <t>AIS Monetization Values</t>
  </si>
  <si>
    <t>Baseline</t>
  </si>
  <si>
    <t>5 mph reduction</t>
  </si>
  <si>
    <t>Roundabout - Injury Only</t>
  </si>
  <si>
    <t>Roundabout - Non-Injury Only</t>
  </si>
  <si>
    <t>Scenario - Corridor Vehicle Safety</t>
  </si>
  <si>
    <t>Scenario - Univ.-28th Veh. Safety</t>
  </si>
  <si>
    <t>Scenario - Corridor Pedestrian Safety</t>
  </si>
  <si>
    <t>1. ASI equivalent crash values assume that no property damage occurs in pedestrian accidents.</t>
  </si>
  <si>
    <t>Various Improvements</t>
  </si>
  <si>
    <t xml:space="preserve">2. Accident growth rate assumed to be equal to anticpate traffic growth rate. </t>
  </si>
  <si>
    <t>1. ASI equivalent crash values assume that two vehicles are damaged in every accident and that vehicle damage equals property-damage only value.</t>
  </si>
  <si>
    <t>DISCOUNTED SUM (7%)</t>
  </si>
  <si>
    <t>DISCOUNTED SUM (3%)</t>
  </si>
  <si>
    <t>Scenario - One overall crash reduction factor</t>
  </si>
  <si>
    <t>Corridor Baseline</t>
  </si>
  <si>
    <t>Net Benefits</t>
  </si>
  <si>
    <t>Corridor Vehicle Safety Baseline</t>
  </si>
  <si>
    <t>Corridor Vehicle Safety w 5mph Speed Reduction</t>
  </si>
  <si>
    <t>One General Crash Reduction Factor, all improvements</t>
  </si>
  <si>
    <t>Scenario 1 - General Crash Reduction Factor</t>
  </si>
  <si>
    <t>Scenario 2 Break Out Safety Benefits By Measure/Type</t>
  </si>
  <si>
    <t>28th Street Base Safety - Vehicles</t>
  </si>
  <si>
    <t>28th Street w Roundabout -  Injury Vehicles</t>
  </si>
  <si>
    <t>28th Street w Roundabout - Non-Injury Vehicles</t>
  </si>
  <si>
    <t>Corridor Base Safety - Pedestrian</t>
  </si>
  <si>
    <t>Corridor Improvements Safety - Pedestrian</t>
  </si>
  <si>
    <t>20 Year Total</t>
  </si>
  <si>
    <t>Total Scenario 2 Net Benefits</t>
  </si>
  <si>
    <t>Discount Factor 7%</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</si>
  <si>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</si>
  <si>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</si>
  <si>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</si>
  <si>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</si>
  <si>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</si>
  <si>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</si>
  <si>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</si>
  <si>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</si>
  <si>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</si>
  <si>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</si>
  <si>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</si>
  <si>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</si>
  <si>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</si>
  <si>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</si>
  <si>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</si>
  <si>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</si>
  <si>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</si>
  <si>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</si>
  <si>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</si>
  <si>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</si>
  <si>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Benefits</t>
  </si>
  <si>
    <t>Reduced Transportation Costs</t>
  </si>
  <si>
    <t>Benefits of Street Trees</t>
  </si>
  <si>
    <t>Economic Competitiveness Benefits</t>
  </si>
  <si>
    <t>Total Benefits</t>
  </si>
  <si>
    <t>Total Discounted Benefits</t>
  </si>
  <si>
    <t>Costs</t>
  </si>
  <si>
    <t>Construction</t>
  </si>
  <si>
    <t>ROW Purchase</t>
  </si>
  <si>
    <t>Water Line Re-location</t>
  </si>
  <si>
    <t>Maintenance</t>
  </si>
  <si>
    <t xml:space="preserve">     Landscaping &amp; Mowing</t>
  </si>
  <si>
    <t xml:space="preserve">     Asphalt Overlay</t>
  </si>
  <si>
    <t xml:space="preserve">     Signage and Striping</t>
  </si>
  <si>
    <t xml:space="preserve">     Electrical Power to Traffic Signal &amp; Street Lights</t>
  </si>
  <si>
    <t>Total Costs</t>
  </si>
  <si>
    <t>Total Discounted Costs</t>
  </si>
  <si>
    <t>Net Benefits over Costs with 7% Discount Factor</t>
  </si>
  <si>
    <t>Net Benefits Over Costs</t>
  </si>
  <si>
    <t>Present Value Factor 3%</t>
  </si>
  <si>
    <t>Crash Reduction &amp; Safety Benefits - Scenario 2</t>
  </si>
  <si>
    <t>Year 21</t>
  </si>
  <si>
    <t>Net Benefits Over Costs with 3% Discount Factor</t>
  </si>
  <si>
    <t>Scenario 1 Net Benefits</t>
  </si>
  <si>
    <t>Total Discounted Benefits (7%)</t>
  </si>
  <si>
    <t>Total Discounted Costs (7%)</t>
  </si>
  <si>
    <t>Net Benefits Over Costs (7%)</t>
  </si>
  <si>
    <t>Health Benefits from Active Transportation</t>
  </si>
  <si>
    <t>Total Benefits (Undiscounted)</t>
  </si>
  <si>
    <t>ROW Acquisition</t>
  </si>
  <si>
    <t>Construction and Engineering</t>
  </si>
  <si>
    <t>Net Benefits Over Costs (3% Discount Factor)</t>
  </si>
  <si>
    <t>7% Discount Rate</t>
  </si>
  <si>
    <t>3% Discount Rate</t>
  </si>
  <si>
    <t>Undiscounted Benefits</t>
  </si>
  <si>
    <t>Undiscounted Costs</t>
  </si>
  <si>
    <t>Net Benefits Over Discounts</t>
  </si>
  <si>
    <t>Benefit/Cost Ratio</t>
  </si>
  <si>
    <t>Travel Time Savings Build versus No-Build</t>
  </si>
  <si>
    <t>Segment</t>
  </si>
  <si>
    <t>No Build</t>
  </si>
  <si>
    <t>Build w RAB at 28th</t>
  </si>
  <si>
    <t xml:space="preserve">Existing </t>
  </si>
  <si>
    <t>Travel Times Per Second per Jacobs VISSIM modeling</t>
  </si>
  <si>
    <t>Southbound</t>
  </si>
  <si>
    <t>Northbound</t>
  </si>
  <si>
    <t>Southbound Travel Time Savings</t>
  </si>
  <si>
    <t>Difference Build/No Build</t>
  </si>
  <si>
    <t>Hours Saved / Day</t>
  </si>
  <si>
    <t>Minutes Saved / Day</t>
  </si>
  <si>
    <t>Seconds Saved Per Driver / Day</t>
  </si>
  <si>
    <t>Hours Saved / Year</t>
  </si>
  <si>
    <t>Value of Savings*</t>
  </si>
  <si>
    <t>*2013 Travel Time Savings Adjusted by 2015 CPI</t>
  </si>
  <si>
    <t>Northbound Travel Time Savings</t>
  </si>
  <si>
    <t>Southbound Travel Time Increases</t>
  </si>
  <si>
    <t>Difference 2015 v. 2034</t>
  </si>
  <si>
    <t>Northbound Travel Time Increases</t>
  </si>
  <si>
    <t>The most important benefit to consider Build / No Build is Travel Time Savings.  However, safety is the key benefit of this project, and the need to reduce overall speeds to improve safety conflicts, in some ways, with Travel Time savings.  Nevertheless, the project does offer some limited Travel Time Savings; however, engineering report gave insufficient data to calculate this benefit over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</si>
</sst>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164" formatCode="0.000"/>
    <numFmt numFmtId="165" formatCode="0.0"/>
    <numFmt numFmtId="166" formatCode="#0.0"/>
    <numFmt numFmtId="167" formatCode="#0.000"/>
    <numFmt numFmtId="168" formatCode="&quot;$&quot;#,##0.00"/>
    <numFmt numFmtId="169" formatCode="#,##0.0000"/>
    <numFmt numFmtId="170" formatCode="&quot;$&quot;#,##0"/>
  </numFmts>
  <fonts count="7" x14ac:knownFonts="1">
    <font>
      <sz val="11"/>
      <color theme="1"/>
      <name val="Calibri"/>
      <family val="2"/>
      <scheme val="minor"/>
    </font>
    <font>
      <b/>
      <sz val="11"/>
      <color theme="1"/>
      <name val="Calibri"/>
      <family val="2"/>
      <scheme val="minor"/>
    </font>
    <font>
      <sz val="11"/>
      <color indexed="8"/>
      <name val="Calibri"/>
      <family val="2"/>
      <scheme val="minor"/>
    </font>
    <font>
      <b/>
      <sz val="12"/>
      <color indexed="8"/>
      <name val="Arial"/>
    </font>
    <font>
      <sz val="10"/>
      <color indexed="8"/>
      <name val="Arial"/>
    </font>
    <font>
      <b/>
      <sz val="10"/>
      <color indexed="8"/>
      <name val="Arial"/>
    </font>
    <font>
      <i/>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s>
  <cellStyleXfs count="2">
    <xf numFmtId="0" fontId="0" fillId="0" borderId="0"/>
    <xf numFmtId="0" fontId="2" fillId="0" borderId="0"/>
  </cellStyleXfs>
  <cellXfs count="77">
    <xf numFmtId="0" fontId="0" fillId="0" borderId="0" xfId="0"/>
    <xf numFmtId="0" fontId="0" fillId="0" borderId="0" xfId="0" applyAlignment="1"/>
    <xf numFmtId="0" fontId="5" fillId="0" borderId="0" xfId="1" applyFont="1" applyFill="1" applyAlignment="1">
      <alignment horizontal="left"/>
    </xf>
    <xf numFmtId="166" fontId="4" fillId="0" borderId="0" xfId="1" applyNumberFormat="1" applyFont="1" applyFill="1" applyAlignment="1">
      <alignment horizontal="right"/>
    </xf>
    <xf numFmtId="167" fontId="4" fillId="0" borderId="0" xfId="1" applyNumberFormat="1" applyFont="1" applyFill="1" applyAlignment="1">
      <alignment horizontal="right"/>
    </xf>
    <xf numFmtId="0" fontId="6"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1" applyAlignment="1"/>
    <xf numFmtId="0" fontId="5" fillId="0" borderId="0" xfId="1" applyFont="1" applyFill="1" applyAlignment="1">
      <alignment horizontal="left" vertical="top"/>
    </xf>
    <xf numFmtId="0" fontId="5" fillId="0" borderId="3" xfId="1" applyFont="1" applyFill="1" applyBorder="1" applyAlignment="1">
      <alignment horizontal="center"/>
    </xf>
    <xf numFmtId="165" fontId="0" fillId="0" borderId="0" xfId="0" applyNumberFormat="1" applyAlignment="1"/>
    <xf numFmtId="0" fontId="6" fillId="0" borderId="8" xfId="0" applyFont="1" applyBorder="1" applyAlignment="1">
      <alignment horizontal="center"/>
    </xf>
    <xf numFmtId="165" fontId="0" fillId="0" borderId="2" xfId="0" applyNumberFormat="1" applyBorder="1" applyAlignment="1">
      <alignment horizontal="center"/>
    </xf>
    <xf numFmtId="165" fontId="0" fillId="0" borderId="9" xfId="0" applyNumberFormat="1" applyBorder="1" applyAlignment="1">
      <alignment horizontal="center"/>
    </xf>
    <xf numFmtId="165" fontId="0" fillId="0" borderId="10"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0" fillId="0" borderId="0" xfId="0" applyAlignment="1">
      <alignment horizontal="center" vertical="center" wrapText="1"/>
    </xf>
    <xf numFmtId="0" fontId="1" fillId="0" borderId="0" xfId="0" applyFont="1" applyAlignment="1">
      <alignment horizontal="center" vertical="center" wrapText="1"/>
    </xf>
    <xf numFmtId="44" fontId="0" fillId="0" borderId="0" xfId="0" applyNumberFormat="1" applyAlignment="1">
      <alignment horizontal="center" vertical="center" wrapText="1"/>
    </xf>
    <xf numFmtId="0" fontId="0" fillId="0" borderId="0" xfId="0" applyBorder="1" applyAlignment="1">
      <alignment horizontal="center" vertical="center" wrapText="1"/>
    </xf>
    <xf numFmtId="8" fontId="0" fillId="0" borderId="0" xfId="0" applyNumberFormat="1" applyAlignment="1">
      <alignment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4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44" fontId="0" fillId="0" borderId="1" xfId="0" applyNumberFormat="1" applyFont="1" applyBorder="1" applyAlignment="1">
      <alignment horizontal="center" vertical="center" wrapText="1"/>
    </xf>
    <xf numFmtId="44" fontId="0" fillId="0" borderId="1" xfId="0" applyNumberForma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44" fontId="0" fillId="0" borderId="0"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2" borderId="1" xfId="0" applyNumberForma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44" fontId="0" fillId="0" borderId="0" xfId="0" applyNumberFormat="1"/>
    <xf numFmtId="0" fontId="1" fillId="0" borderId="0" xfId="0" applyFont="1" applyBorder="1" applyAlignment="1">
      <alignment horizontal="center" vertical="center" wrapText="1"/>
    </xf>
    <xf numFmtId="168" fontId="0" fillId="0" borderId="0" xfId="0" applyNumberFormat="1"/>
    <xf numFmtId="168" fontId="0" fillId="0" borderId="0" xfId="0" applyNumberFormat="1" applyAlignment="1">
      <alignment wrapText="1"/>
    </xf>
    <xf numFmtId="0" fontId="0" fillId="3" borderId="0" xfId="0" applyFill="1"/>
    <xf numFmtId="169" fontId="0" fillId="3" borderId="0" xfId="0" applyNumberFormat="1" applyFill="1"/>
    <xf numFmtId="0" fontId="0" fillId="4" borderId="0" xfId="0" applyFill="1"/>
    <xf numFmtId="168" fontId="0" fillId="4" borderId="0" xfId="0" applyNumberFormat="1" applyFill="1"/>
    <xf numFmtId="44" fontId="0" fillId="4" borderId="0" xfId="0" applyNumberFormat="1" applyFill="1"/>
    <xf numFmtId="168" fontId="0" fillId="5" borderId="0" xfId="0" applyNumberFormat="1" applyFill="1"/>
    <xf numFmtId="0" fontId="0" fillId="5" borderId="0" xfId="0" applyFill="1" applyAlignment="1">
      <alignment wrapText="1"/>
    </xf>
    <xf numFmtId="168" fontId="0" fillId="5" borderId="0" xfId="0" applyNumberFormat="1" applyFill="1" applyAlignment="1">
      <alignment wrapText="1"/>
    </xf>
    <xf numFmtId="168" fontId="0" fillId="6" borderId="0" xfId="0" applyNumberFormat="1" applyFill="1" applyAlignment="1">
      <alignment wrapText="1"/>
    </xf>
    <xf numFmtId="168" fontId="0" fillId="6" borderId="0" xfId="0" applyNumberFormat="1" applyFill="1"/>
    <xf numFmtId="0" fontId="1" fillId="0" borderId="0" xfId="0" applyFont="1" applyFill="1"/>
    <xf numFmtId="168" fontId="1" fillId="0" borderId="0" xfId="0" applyNumberFormat="1" applyFont="1" applyFill="1"/>
    <xf numFmtId="168" fontId="1" fillId="0" borderId="0" xfId="0" applyNumberFormat="1" applyFont="1"/>
    <xf numFmtId="0" fontId="0" fillId="0" borderId="0" xfId="0" applyAlignment="1">
      <alignment wrapText="1"/>
    </xf>
    <xf numFmtId="0" fontId="0" fillId="0" borderId="1" xfId="0" applyBorder="1"/>
    <xf numFmtId="0" fontId="0" fillId="0" borderId="1" xfId="0" applyBorder="1" applyAlignment="1">
      <alignment wrapText="1"/>
    </xf>
    <xf numFmtId="0" fontId="0" fillId="0" borderId="11" xfId="0" applyBorder="1"/>
    <xf numFmtId="0" fontId="5" fillId="0" borderId="0" xfId="1" applyFont="1" applyFill="1" applyAlignment="1">
      <alignment horizontal="left" vertical="top"/>
    </xf>
    <xf numFmtId="0" fontId="2" fillId="0" borderId="0" xfId="1" applyAlignment="1"/>
    <xf numFmtId="0" fontId="4" fillId="0" borderId="0" xfId="1" applyFont="1" applyFill="1" applyAlignment="1">
      <alignment horizontal="left" vertical="top"/>
    </xf>
    <xf numFmtId="0" fontId="4" fillId="0" borderId="0" xfId="1" applyFont="1" applyFill="1" applyAlignment="1">
      <alignment horizontal="left"/>
    </xf>
    <xf numFmtId="0" fontId="1" fillId="0" borderId="0" xfId="0" applyFont="1" applyBorder="1" applyAlignment="1">
      <alignment horizontal="center"/>
    </xf>
    <xf numFmtId="0" fontId="3" fillId="0" borderId="0" xfId="1" applyFont="1" applyFill="1" applyAlignment="1">
      <alignment horizontal="left"/>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10" fontId="1" fillId="2" borderId="1" xfId="0" applyNumberFormat="1" applyFont="1" applyFill="1" applyBorder="1" applyAlignment="1">
      <alignment horizontal="center" vertical="center" wrapText="1"/>
    </xf>
    <xf numFmtId="168" fontId="0" fillId="0" borderId="0" xfId="0" applyNumberFormat="1" applyFill="1"/>
    <xf numFmtId="0" fontId="0" fillId="0" borderId="0" xfId="0" applyFill="1" applyAlignment="1">
      <alignment wrapText="1"/>
    </xf>
    <xf numFmtId="0" fontId="0" fillId="0" borderId="0" xfId="0" applyFill="1"/>
    <xf numFmtId="168" fontId="0" fillId="0" borderId="0" xfId="0" applyNumberFormat="1" applyFill="1" applyAlignment="1">
      <alignment wrapText="1"/>
    </xf>
    <xf numFmtId="169" fontId="0" fillId="0" borderId="0" xfId="0" applyNumberFormat="1" applyFill="1"/>
    <xf numFmtId="170" fontId="0" fillId="0" borderId="0" xfId="0" applyNumberFormat="1" applyFill="1"/>
    <xf numFmtId="170" fontId="0" fillId="0" borderId="0" xfId="0" applyNumberFormat="1"/>
    <xf numFmtId="2" fontId="0" fillId="0" borderId="0" xfId="0" applyNumberFormat="1"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0"/>
  <sheetViews>
    <sheetView topLeftCell="K10" workbookViewId="0">
      <selection activeCell="W29" sqref="W29"/>
    </sheetView>
  </sheetViews>
  <sheetFormatPr defaultRowHeight="15" x14ac:dyDescent="0.25"/>
  <cols>
    <col min="1" max="1" width="43" customWidth="1"/>
    <col min="2" max="2" width="14" customWidth="1"/>
    <col min="3" max="3" width="13.140625" customWidth="1"/>
    <col min="4" max="4" width="13.7109375" customWidth="1"/>
    <col min="5" max="5" width="13.42578125" customWidth="1"/>
    <col min="6" max="6" width="14.28515625" customWidth="1"/>
    <col min="7" max="7" width="15.85546875" customWidth="1"/>
    <col min="8" max="8" width="13.5703125" customWidth="1"/>
    <col min="9" max="9" width="12.5703125" customWidth="1"/>
    <col min="10" max="10" width="13.5703125" customWidth="1"/>
    <col min="11" max="11" width="12.5703125" customWidth="1"/>
    <col min="12" max="12" width="13.85546875" customWidth="1"/>
    <col min="13" max="13" width="12.85546875" customWidth="1"/>
    <col min="14" max="14" width="13.140625" customWidth="1"/>
    <col min="15" max="15" width="12.42578125" customWidth="1"/>
    <col min="16" max="16" width="12.5703125" customWidth="1"/>
    <col min="17" max="17" width="14.42578125" customWidth="1"/>
    <col min="18" max="18" width="13.5703125" customWidth="1"/>
    <col min="19" max="19" width="14.7109375" customWidth="1"/>
    <col min="20" max="20" width="13.28515625" customWidth="1"/>
    <col min="21" max="21" width="12.7109375" customWidth="1"/>
    <col min="22" max="22" width="15.42578125" customWidth="1"/>
    <col min="23" max="23" width="13.5703125" customWidth="1"/>
    <col min="24" max="24" width="10.85546875" customWidth="1"/>
    <col min="25" max="25" width="13.85546875" customWidth="1"/>
    <col min="26" max="26" width="14.28515625" customWidth="1"/>
  </cols>
  <sheetData>
    <row r="1" spans="1:26" x14ac:dyDescent="0.25">
      <c r="A1" s="43" t="s">
        <v>94</v>
      </c>
      <c r="B1" s="43">
        <v>1</v>
      </c>
      <c r="C1" s="43">
        <v>0.93459999999999999</v>
      </c>
      <c r="D1" s="43">
        <v>0.87339999999999995</v>
      </c>
      <c r="E1" s="43">
        <v>0.81630000000000003</v>
      </c>
      <c r="F1" s="43">
        <v>0.76290000000000002</v>
      </c>
      <c r="G1" s="43">
        <v>0.71299999999999997</v>
      </c>
      <c r="H1" s="43">
        <v>0.6663</v>
      </c>
      <c r="I1" s="43">
        <v>0.62270000000000003</v>
      </c>
      <c r="J1" s="43">
        <v>0.58199999999999996</v>
      </c>
      <c r="K1" s="43">
        <v>0.54390000000000005</v>
      </c>
      <c r="L1" s="43">
        <v>0.50829999999999997</v>
      </c>
      <c r="M1" s="43">
        <v>0.47510000000000002</v>
      </c>
      <c r="N1" s="43">
        <v>0.44400000000000001</v>
      </c>
      <c r="O1" s="43">
        <v>0.41499999999999998</v>
      </c>
      <c r="P1" s="43">
        <v>0.38779999999999998</v>
      </c>
      <c r="Q1" s="43">
        <v>0.3624</v>
      </c>
      <c r="R1" s="43">
        <v>0.3387</v>
      </c>
      <c r="S1" s="43">
        <v>0.31659999999999999</v>
      </c>
      <c r="T1" s="43">
        <v>0.2959</v>
      </c>
      <c r="U1" s="43">
        <v>0.27650000000000002</v>
      </c>
      <c r="V1" s="43">
        <v>0.25840000000000002</v>
      </c>
    </row>
    <row r="2" spans="1:26" x14ac:dyDescent="0.25">
      <c r="B2" t="s">
        <v>95</v>
      </c>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c r="T2" t="s">
        <v>113</v>
      </c>
      <c r="U2" t="s">
        <v>114</v>
      </c>
      <c r="V2" t="s">
        <v>136</v>
      </c>
      <c r="W2" t="s">
        <v>143</v>
      </c>
    </row>
    <row r="3" spans="1:26" x14ac:dyDescent="0.25">
      <c r="A3" t="s">
        <v>115</v>
      </c>
    </row>
    <row r="4" spans="1:26" x14ac:dyDescent="0.25">
      <c r="A4" t="s">
        <v>142</v>
      </c>
      <c r="B4" s="41"/>
      <c r="C4" s="41">
        <v>450560</v>
      </c>
      <c r="D4" s="41">
        <f>C4*1.005</f>
        <v>452812.79999999993</v>
      </c>
      <c r="E4" s="41">
        <f t="shared" ref="E4:V4" si="0">D4*1.005</f>
        <v>455076.86399999988</v>
      </c>
      <c r="F4" s="41">
        <f t="shared" si="0"/>
        <v>457352.24831999984</v>
      </c>
      <c r="G4" s="41">
        <f t="shared" si="0"/>
        <v>459639.00956159981</v>
      </c>
      <c r="H4" s="41">
        <f t="shared" si="0"/>
        <v>461937.20460940775</v>
      </c>
      <c r="I4" s="41">
        <f t="shared" si="0"/>
        <v>464246.89063245471</v>
      </c>
      <c r="J4" s="41">
        <f t="shared" si="0"/>
        <v>466568.12508561695</v>
      </c>
      <c r="K4" s="41">
        <f t="shared" si="0"/>
        <v>468900.96571104496</v>
      </c>
      <c r="L4" s="41">
        <f t="shared" si="0"/>
        <v>471245.47053960012</v>
      </c>
      <c r="M4" s="41">
        <f t="shared" si="0"/>
        <v>473601.69789229805</v>
      </c>
      <c r="N4" s="41">
        <f t="shared" si="0"/>
        <v>475969.70638175949</v>
      </c>
      <c r="O4" s="41">
        <f t="shared" si="0"/>
        <v>478349.55491366825</v>
      </c>
      <c r="P4" s="41">
        <f t="shared" si="0"/>
        <v>480741.30268823652</v>
      </c>
      <c r="Q4" s="41">
        <f t="shared" si="0"/>
        <v>483145.00920167763</v>
      </c>
      <c r="R4" s="41">
        <f t="shared" si="0"/>
        <v>485560.73424768599</v>
      </c>
      <c r="S4" s="41">
        <f t="shared" si="0"/>
        <v>487988.53791892435</v>
      </c>
      <c r="T4" s="41">
        <f t="shared" si="0"/>
        <v>490428.48060851893</v>
      </c>
      <c r="U4" s="41">
        <f t="shared" si="0"/>
        <v>492880.62301156146</v>
      </c>
      <c r="V4" s="41">
        <f t="shared" si="0"/>
        <v>495345.0261266192</v>
      </c>
      <c r="W4" s="41">
        <f>SUM(C4:V4)</f>
        <v>9452350.2514506727</v>
      </c>
    </row>
    <row r="5" spans="1:26" x14ac:dyDescent="0.25">
      <c r="A5" t="s">
        <v>116</v>
      </c>
      <c r="B5" s="41"/>
      <c r="C5" s="41"/>
      <c r="D5" s="41"/>
      <c r="E5" s="41"/>
      <c r="F5" s="41"/>
      <c r="G5" s="41"/>
      <c r="H5" s="41"/>
      <c r="I5" s="41"/>
      <c r="J5" s="41"/>
      <c r="K5" s="41"/>
      <c r="L5" s="41">
        <v>1837017</v>
      </c>
      <c r="M5" s="41">
        <f>L5*1.005</f>
        <v>1846202.0849999997</v>
      </c>
      <c r="N5" s="41">
        <f t="shared" ref="N5:V5" si="1">M5*1.005</f>
        <v>1855433.0954249995</v>
      </c>
      <c r="O5" s="41">
        <f t="shared" si="1"/>
        <v>1864710.2609021242</v>
      </c>
      <c r="P5" s="41">
        <f t="shared" si="1"/>
        <v>1874033.8122066346</v>
      </c>
      <c r="Q5" s="41">
        <f t="shared" si="1"/>
        <v>1883403.9812676676</v>
      </c>
      <c r="R5" s="41">
        <f t="shared" si="1"/>
        <v>1892821.0011740057</v>
      </c>
      <c r="S5" s="41">
        <f t="shared" si="1"/>
        <v>1902285.1061798756</v>
      </c>
      <c r="T5" s="41">
        <f t="shared" si="1"/>
        <v>1911796.5317107746</v>
      </c>
      <c r="U5" s="41">
        <f t="shared" si="1"/>
        <v>1921355.5143693283</v>
      </c>
      <c r="V5" s="41">
        <f t="shared" si="1"/>
        <v>1930962.2919411748</v>
      </c>
      <c r="W5" s="41">
        <f>SUM(L5:V5)</f>
        <v>20720020.680176586</v>
      </c>
    </row>
    <row r="6" spans="1:26" x14ac:dyDescent="0.25">
      <c r="A6" t="s">
        <v>117</v>
      </c>
      <c r="B6" s="41"/>
      <c r="C6" s="41">
        <v>41764</v>
      </c>
      <c r="D6" s="41">
        <v>41764</v>
      </c>
      <c r="E6" s="41">
        <v>41764</v>
      </c>
      <c r="F6" s="41">
        <v>41764</v>
      </c>
      <c r="G6" s="41">
        <v>41764</v>
      </c>
      <c r="H6" s="41">
        <v>41764</v>
      </c>
      <c r="I6" s="41">
        <v>41764</v>
      </c>
      <c r="J6" s="41">
        <v>41764</v>
      </c>
      <c r="K6" s="41">
        <v>41764</v>
      </c>
      <c r="L6" s="41">
        <v>41764</v>
      </c>
      <c r="M6" s="41">
        <v>41764</v>
      </c>
      <c r="N6" s="41">
        <v>41764</v>
      </c>
      <c r="O6" s="41">
        <v>41764</v>
      </c>
      <c r="P6" s="41">
        <v>41764</v>
      </c>
      <c r="Q6" s="41">
        <v>41764</v>
      </c>
      <c r="R6" s="41">
        <v>41764</v>
      </c>
      <c r="S6" s="41">
        <v>41764</v>
      </c>
      <c r="T6" s="41">
        <v>41764</v>
      </c>
      <c r="U6" s="41">
        <v>41764</v>
      </c>
      <c r="V6" s="41">
        <v>41764</v>
      </c>
      <c r="W6" s="41">
        <f>SUM(C6:V6)</f>
        <v>835280</v>
      </c>
    </row>
    <row r="7" spans="1:26" x14ac:dyDescent="0.25">
      <c r="A7" t="s">
        <v>135</v>
      </c>
      <c r="B7" s="41"/>
      <c r="C7" s="41">
        <v>1850516.1925458254</v>
      </c>
      <c r="D7" s="41">
        <v>1859768.7735085543</v>
      </c>
      <c r="E7" s="41">
        <v>1869067.6173760965</v>
      </c>
      <c r="F7" s="41">
        <v>1878412.9554629773</v>
      </c>
      <c r="G7" s="41">
        <v>1887805.0202402913</v>
      </c>
      <c r="H7" s="41">
        <v>1897244.0453414926</v>
      </c>
      <c r="I7" s="41">
        <v>1906730.2655682</v>
      </c>
      <c r="J7" s="41">
        <v>1916263.916896041</v>
      </c>
      <c r="K7" s="41">
        <v>1925845.2364805215</v>
      </c>
      <c r="L7" s="41">
        <v>1935474.4626629227</v>
      </c>
      <c r="M7" s="41">
        <v>1945151.8349762373</v>
      </c>
      <c r="N7" s="41">
        <v>1954877.5941511183</v>
      </c>
      <c r="O7" s="41">
        <v>1964651.9821218734</v>
      </c>
      <c r="P7" s="41">
        <v>1974475.2420324816</v>
      </c>
      <c r="Q7" s="41">
        <v>1984347.6182426452</v>
      </c>
      <c r="R7" s="41">
        <v>1994269.3563338574</v>
      </c>
      <c r="S7" s="41">
        <v>2004240.7031155268</v>
      </c>
      <c r="T7" s="41">
        <v>2014261.9066311037</v>
      </c>
      <c r="U7" s="41">
        <v>2024333.2161642597</v>
      </c>
      <c r="V7" s="41">
        <v>2034454.8822450794</v>
      </c>
      <c r="W7" s="41">
        <f>SUM(C7:V7)</f>
        <v>38822192.822097108</v>
      </c>
    </row>
    <row r="8" spans="1:26" x14ac:dyDescent="0.25">
      <c r="A8" t="s">
        <v>118</v>
      </c>
      <c r="B8" s="41"/>
      <c r="C8" s="41"/>
      <c r="D8" s="41"/>
      <c r="E8" s="41"/>
      <c r="F8" s="41">
        <v>1108450</v>
      </c>
      <c r="G8" s="41">
        <v>2000000</v>
      </c>
      <c r="H8" s="41">
        <v>3000000</v>
      </c>
      <c r="I8" s="41"/>
      <c r="J8" s="41"/>
      <c r="K8" s="41"/>
      <c r="L8" s="41"/>
      <c r="M8" s="41"/>
      <c r="N8" s="41"/>
      <c r="O8" s="41"/>
      <c r="P8" s="41"/>
      <c r="Q8" s="41"/>
      <c r="R8" s="41"/>
      <c r="S8" s="41"/>
      <c r="T8" s="41"/>
      <c r="U8" s="41"/>
      <c r="V8" s="41"/>
      <c r="W8" s="41">
        <f>SUM(F8:V8)</f>
        <v>6108450</v>
      </c>
    </row>
    <row r="9" spans="1:26" x14ac:dyDescent="0.25">
      <c r="A9" s="45" t="s">
        <v>119</v>
      </c>
      <c r="B9" s="46">
        <v>0</v>
      </c>
      <c r="C9" s="46">
        <f>C4+C5+C6+C7+C8</f>
        <v>2342840.1925458256</v>
      </c>
      <c r="D9" s="46">
        <f t="shared" ref="D9:E9" si="2">D4+D5+D6+D7+D8</f>
        <v>2354345.5735085541</v>
      </c>
      <c r="E9" s="46">
        <f t="shared" si="2"/>
        <v>2365908.4813760966</v>
      </c>
      <c r="F9" s="46">
        <f t="shared" ref="F9" si="3">F4+F5+F6+F7+F8</f>
        <v>3485979.2037829771</v>
      </c>
      <c r="G9" s="46">
        <f t="shared" ref="G9" si="4">G4+G5+G6+G7+G8</f>
        <v>4389208.0298018912</v>
      </c>
      <c r="H9" s="46">
        <f t="shared" ref="H9" si="5">H4+H5+H6+H7+H8</f>
        <v>5400945.2499509007</v>
      </c>
      <c r="I9" s="46">
        <f t="shared" ref="I9" si="6">I4+I5+I6+I7+I8</f>
        <v>2412741.1562006548</v>
      </c>
      <c r="J9" s="46">
        <f t="shared" ref="J9" si="7">J4+J5+J6+J7+J8</f>
        <v>2424596.041981658</v>
      </c>
      <c r="K9" s="46">
        <f t="shared" ref="K9" si="8">K4+K5+K6+K7+K8</f>
        <v>2436510.2021915666</v>
      </c>
      <c r="L9" s="46">
        <f t="shared" ref="L9" si="9">L4+L5+L6+L7+L8</f>
        <v>4285500.9332025228</v>
      </c>
      <c r="M9" s="46">
        <f t="shared" ref="M9" si="10">M4+M5+M6+M7+M8</f>
        <v>4306719.6178685352</v>
      </c>
      <c r="N9" s="46">
        <f t="shared" ref="N9:V9" si="11">N4+N5+N6+N7+N8</f>
        <v>4328044.3959578779</v>
      </c>
      <c r="O9" s="46">
        <f t="shared" si="11"/>
        <v>4349475.7979376661</v>
      </c>
      <c r="P9" s="46">
        <f t="shared" si="11"/>
        <v>4371014.356927353</v>
      </c>
      <c r="Q9" s="46">
        <f t="shared" si="11"/>
        <v>4392660.6087119905</v>
      </c>
      <c r="R9" s="46">
        <f t="shared" si="11"/>
        <v>4414415.0917555485</v>
      </c>
      <c r="S9" s="46">
        <f t="shared" si="11"/>
        <v>4436278.3472143263</v>
      </c>
      <c r="T9" s="46">
        <f t="shared" si="11"/>
        <v>4458250.9189503975</v>
      </c>
      <c r="U9" s="46">
        <f t="shared" si="11"/>
        <v>4480333.3535451498</v>
      </c>
      <c r="V9" s="46">
        <f t="shared" si="11"/>
        <v>4502526.2003128733</v>
      </c>
      <c r="W9" s="41">
        <f>W4+W5+W6+W7+W8</f>
        <v>75938293.753724366</v>
      </c>
    </row>
    <row r="10" spans="1:26" ht="60" x14ac:dyDescent="0.25">
      <c r="A10" t="s">
        <v>120</v>
      </c>
      <c r="B10" s="41">
        <v>0</v>
      </c>
      <c r="C10" s="41">
        <f>C9*C1</f>
        <v>2189618.4439533288</v>
      </c>
      <c r="D10" s="41">
        <f>D9*D1</f>
        <v>2056285.423902371</v>
      </c>
      <c r="E10" s="41">
        <f t="shared" ref="E10:V10" si="12">E9*E1</f>
        <v>1931291.0933473078</v>
      </c>
      <c r="F10" s="41">
        <f t="shared" si="12"/>
        <v>2659453.5345660332</v>
      </c>
      <c r="G10" s="41">
        <f t="shared" si="12"/>
        <v>3129505.3252487481</v>
      </c>
      <c r="H10" s="41">
        <f t="shared" si="12"/>
        <v>3598649.8200422851</v>
      </c>
      <c r="I10" s="41">
        <f t="shared" si="12"/>
        <v>1502413.9179661479</v>
      </c>
      <c r="J10" s="41">
        <f t="shared" si="12"/>
        <v>1411114.8964333248</v>
      </c>
      <c r="K10" s="41">
        <f t="shared" si="12"/>
        <v>1325217.8989719932</v>
      </c>
      <c r="L10" s="41">
        <f t="shared" si="12"/>
        <v>2178320.1243468421</v>
      </c>
      <c r="M10" s="41">
        <f t="shared" si="12"/>
        <v>2046122.4904493412</v>
      </c>
      <c r="N10" s="41">
        <f t="shared" si="12"/>
        <v>1921651.7118052978</v>
      </c>
      <c r="O10" s="41">
        <f t="shared" si="12"/>
        <v>1805032.4561441313</v>
      </c>
      <c r="P10" s="41">
        <f t="shared" si="12"/>
        <v>1695079.3676164274</v>
      </c>
      <c r="Q10" s="41">
        <f t="shared" si="12"/>
        <v>1591900.2045972254</v>
      </c>
      <c r="R10" s="41">
        <f t="shared" si="12"/>
        <v>1495162.3915776042</v>
      </c>
      <c r="S10" s="41">
        <f t="shared" si="12"/>
        <v>1404525.7247280558</v>
      </c>
      <c r="T10" s="41">
        <f t="shared" si="12"/>
        <v>1319196.4469174226</v>
      </c>
      <c r="U10" s="41">
        <f t="shared" si="12"/>
        <v>1238812.1722552341</v>
      </c>
      <c r="V10" s="41">
        <f t="shared" si="12"/>
        <v>1163452.7701608466</v>
      </c>
      <c r="W10" s="48">
        <f>SUM(C10:V10)</f>
        <v>37662806.21502997</v>
      </c>
      <c r="X10" s="49" t="s">
        <v>139</v>
      </c>
    </row>
    <row r="11" spans="1:26" x14ac:dyDescent="0.25">
      <c r="B11" s="41"/>
      <c r="C11" s="41"/>
      <c r="D11" s="41"/>
      <c r="E11" s="41"/>
      <c r="F11" s="41"/>
      <c r="G11" s="41"/>
      <c r="H11" s="41"/>
      <c r="I11" s="41"/>
      <c r="J11" s="41"/>
      <c r="K11" s="41"/>
      <c r="L11" s="41"/>
      <c r="M11" s="41"/>
      <c r="N11" s="41"/>
      <c r="O11" s="41"/>
      <c r="P11" s="41"/>
      <c r="Q11" s="41"/>
      <c r="R11" s="41"/>
      <c r="S11" s="41"/>
      <c r="T11" s="41"/>
      <c r="U11" s="41"/>
      <c r="V11" s="41"/>
    </row>
    <row r="12" spans="1:26" x14ac:dyDescent="0.25">
      <c r="A12" t="s">
        <v>121</v>
      </c>
      <c r="B12" s="41"/>
      <c r="C12" s="41"/>
      <c r="D12" s="41"/>
      <c r="E12" s="41"/>
      <c r="F12" s="41"/>
      <c r="G12" s="41"/>
      <c r="H12" s="41"/>
      <c r="I12" s="41"/>
      <c r="J12" s="41"/>
      <c r="K12" s="41"/>
      <c r="L12" s="41"/>
      <c r="M12" s="41"/>
      <c r="N12" s="41"/>
      <c r="O12" s="41"/>
      <c r="P12" s="41"/>
      <c r="Q12" s="41"/>
      <c r="R12" s="41"/>
      <c r="S12" s="41"/>
      <c r="T12" s="41"/>
      <c r="U12" s="41"/>
      <c r="V12" s="41"/>
      <c r="W12" s="41"/>
      <c r="Y12" s="41"/>
    </row>
    <row r="13" spans="1:26" x14ac:dyDescent="0.25">
      <c r="A13" t="s">
        <v>145</v>
      </c>
      <c r="B13" s="41">
        <v>12395134</v>
      </c>
      <c r="C13" s="41"/>
      <c r="D13" s="41"/>
      <c r="E13" s="41"/>
      <c r="F13" s="41"/>
      <c r="G13" s="41"/>
      <c r="H13" s="41"/>
      <c r="I13" s="41"/>
      <c r="J13" s="41"/>
      <c r="K13" s="41"/>
      <c r="L13" s="41"/>
      <c r="M13" s="41"/>
      <c r="N13" s="41"/>
      <c r="O13" s="41"/>
      <c r="P13" s="41"/>
      <c r="Q13" s="41"/>
      <c r="R13" s="41"/>
      <c r="S13" s="41"/>
      <c r="T13" s="41"/>
      <c r="U13" s="41"/>
      <c r="V13" s="41"/>
      <c r="W13" s="41">
        <v>12284133</v>
      </c>
      <c r="Y13" s="41"/>
      <c r="Z13" s="41"/>
    </row>
    <row r="14" spans="1:26" x14ac:dyDescent="0.25">
      <c r="A14" t="s">
        <v>144</v>
      </c>
      <c r="B14" s="41">
        <v>1304600</v>
      </c>
      <c r="C14" s="41"/>
      <c r="D14" s="41"/>
      <c r="E14" s="41"/>
      <c r="F14" s="41"/>
      <c r="G14" s="41"/>
      <c r="H14" s="41"/>
      <c r="I14" s="41"/>
      <c r="J14" s="41"/>
      <c r="K14" s="41"/>
      <c r="L14" s="41"/>
      <c r="M14" s="41"/>
      <c r="N14" s="41"/>
      <c r="O14" s="41"/>
      <c r="P14" s="41"/>
      <c r="Q14" s="41"/>
      <c r="R14" s="41"/>
      <c r="S14" s="41"/>
      <c r="T14" s="41"/>
      <c r="U14" s="41"/>
      <c r="V14" s="41"/>
      <c r="W14" s="41">
        <v>1304600</v>
      </c>
      <c r="Y14" s="41"/>
      <c r="Z14" s="41"/>
    </row>
    <row r="15" spans="1:26" x14ac:dyDescent="0.25">
      <c r="A15" t="s">
        <v>124</v>
      </c>
      <c r="B15" s="41">
        <v>1000000</v>
      </c>
      <c r="C15" s="41"/>
      <c r="D15" s="41"/>
      <c r="E15" s="41"/>
      <c r="F15" s="41"/>
      <c r="G15" s="41"/>
      <c r="H15" s="41"/>
      <c r="I15" s="41"/>
      <c r="J15" s="41"/>
      <c r="K15" s="41"/>
      <c r="L15" s="41"/>
      <c r="M15" s="41"/>
      <c r="N15" s="41"/>
      <c r="O15" s="41"/>
      <c r="P15" s="41"/>
      <c r="Q15" s="41"/>
      <c r="R15" s="41"/>
      <c r="S15" s="41"/>
      <c r="T15" s="41"/>
      <c r="U15" s="41"/>
      <c r="V15" s="41"/>
      <c r="W15" s="41">
        <v>1000000</v>
      </c>
      <c r="Y15" s="41"/>
      <c r="Z15" s="41"/>
    </row>
    <row r="16" spans="1:26" x14ac:dyDescent="0.25">
      <c r="A16" t="s">
        <v>125</v>
      </c>
      <c r="B16" s="41"/>
      <c r="C16" s="41"/>
      <c r="D16" s="41"/>
      <c r="E16" s="41"/>
      <c r="F16" s="41"/>
      <c r="G16" s="41"/>
      <c r="H16" s="41"/>
      <c r="I16" s="41"/>
      <c r="J16" s="41"/>
      <c r="K16" s="41"/>
      <c r="L16" s="41"/>
      <c r="M16" s="41"/>
      <c r="N16" s="41"/>
      <c r="O16" s="41"/>
      <c r="P16" s="41"/>
      <c r="Q16" s="41"/>
      <c r="R16" s="41"/>
      <c r="S16" s="41"/>
      <c r="T16" s="41"/>
      <c r="U16" s="41"/>
      <c r="V16" s="41"/>
    </row>
    <row r="17" spans="1:26" x14ac:dyDescent="0.25">
      <c r="A17" t="s">
        <v>126</v>
      </c>
      <c r="B17" s="41"/>
      <c r="C17" s="41">
        <v>60000</v>
      </c>
      <c r="D17" s="41">
        <v>60000</v>
      </c>
      <c r="E17" s="41">
        <v>60000</v>
      </c>
      <c r="F17" s="41">
        <v>60000</v>
      </c>
      <c r="G17" s="41">
        <v>60000</v>
      </c>
      <c r="H17" s="41">
        <v>60000</v>
      </c>
      <c r="I17" s="41">
        <v>60000</v>
      </c>
      <c r="J17" s="41">
        <v>60000</v>
      </c>
      <c r="K17" s="41">
        <v>60000</v>
      </c>
      <c r="L17" s="41">
        <v>60000</v>
      </c>
      <c r="M17" s="41">
        <v>60000</v>
      </c>
      <c r="N17" s="41">
        <v>60000</v>
      </c>
      <c r="O17" s="41">
        <v>60000</v>
      </c>
      <c r="P17" s="41">
        <v>60000</v>
      </c>
      <c r="Q17" s="41">
        <v>60000</v>
      </c>
      <c r="R17" s="41">
        <v>60000</v>
      </c>
      <c r="S17" s="41">
        <v>60000</v>
      </c>
      <c r="T17" s="41">
        <v>60000</v>
      </c>
      <c r="U17" s="41">
        <v>60000</v>
      </c>
      <c r="V17" s="41">
        <v>60000</v>
      </c>
      <c r="W17" s="41">
        <f>SUM(C17:V17)</f>
        <v>1200000</v>
      </c>
      <c r="Y17" s="41"/>
      <c r="Z17" s="41"/>
    </row>
    <row r="18" spans="1:26" x14ac:dyDescent="0.25">
      <c r="A18" t="s">
        <v>127</v>
      </c>
      <c r="B18" s="41"/>
      <c r="C18" s="41"/>
      <c r="D18" s="41"/>
      <c r="E18" s="41"/>
      <c r="F18" s="41"/>
      <c r="G18" s="41"/>
      <c r="H18" s="41"/>
      <c r="I18" s="41"/>
      <c r="J18" s="41"/>
      <c r="K18" s="41"/>
      <c r="L18" s="41"/>
      <c r="M18" s="41"/>
      <c r="N18" s="41"/>
      <c r="O18" s="41"/>
      <c r="P18" s="41">
        <v>232320</v>
      </c>
      <c r="Q18" s="41"/>
      <c r="R18" s="41"/>
      <c r="S18" s="41"/>
      <c r="T18" s="41"/>
      <c r="U18" s="41"/>
      <c r="V18" s="41"/>
      <c r="W18" s="41">
        <v>232320</v>
      </c>
      <c r="Y18" s="41"/>
      <c r="Z18" s="41"/>
    </row>
    <row r="19" spans="1:26" x14ac:dyDescent="0.25">
      <c r="A19" t="s">
        <v>128</v>
      </c>
      <c r="B19" s="41"/>
      <c r="C19" s="41"/>
      <c r="D19" s="41"/>
      <c r="E19" s="41"/>
      <c r="F19" s="41"/>
      <c r="G19" s="41"/>
      <c r="H19" s="41"/>
      <c r="I19" s="41"/>
      <c r="J19" s="41"/>
      <c r="K19" s="41"/>
      <c r="L19" s="41"/>
      <c r="M19" s="41"/>
      <c r="N19" s="41"/>
      <c r="O19" s="41"/>
      <c r="P19" s="41">
        <v>10000</v>
      </c>
      <c r="Q19" s="41"/>
      <c r="R19" s="41"/>
      <c r="S19" s="41"/>
      <c r="T19" s="41"/>
      <c r="U19" s="41"/>
      <c r="V19" s="41"/>
      <c r="W19" s="41">
        <v>10000</v>
      </c>
      <c r="Y19" s="41"/>
      <c r="Z19" s="41"/>
    </row>
    <row r="20" spans="1:26" x14ac:dyDescent="0.25">
      <c r="A20" t="s">
        <v>129</v>
      </c>
      <c r="B20" s="41">
        <v>20400</v>
      </c>
      <c r="C20" s="41">
        <v>20400</v>
      </c>
      <c r="D20" s="41">
        <v>20400</v>
      </c>
      <c r="E20" s="41">
        <v>20400</v>
      </c>
      <c r="F20" s="41">
        <v>20400</v>
      </c>
      <c r="G20" s="41">
        <v>20400</v>
      </c>
      <c r="H20" s="41">
        <v>20400</v>
      </c>
      <c r="I20" s="41">
        <v>20400</v>
      </c>
      <c r="J20" s="41">
        <v>20400</v>
      </c>
      <c r="K20" s="41">
        <v>20400</v>
      </c>
      <c r="L20" s="41">
        <v>20400</v>
      </c>
      <c r="M20" s="41">
        <v>20400</v>
      </c>
      <c r="N20" s="41">
        <v>20400</v>
      </c>
      <c r="O20" s="41">
        <v>20400</v>
      </c>
      <c r="P20" s="41">
        <v>20400</v>
      </c>
      <c r="Q20" s="41"/>
      <c r="R20" s="41">
        <v>20400</v>
      </c>
      <c r="S20" s="41">
        <v>20400</v>
      </c>
      <c r="T20" s="41">
        <v>20400</v>
      </c>
      <c r="U20" s="41">
        <v>20400</v>
      </c>
      <c r="V20" s="41">
        <v>20400</v>
      </c>
      <c r="W20" s="41">
        <f>SUM(B20:V20)</f>
        <v>408000</v>
      </c>
      <c r="Y20" s="41"/>
      <c r="Z20" s="41"/>
    </row>
    <row r="21" spans="1:26" x14ac:dyDescent="0.25">
      <c r="B21" s="41"/>
      <c r="C21" s="41"/>
      <c r="D21" s="41"/>
      <c r="E21" s="41"/>
      <c r="F21" s="41"/>
      <c r="G21" s="41"/>
      <c r="H21" s="41"/>
      <c r="I21" s="41"/>
      <c r="J21" s="41"/>
      <c r="K21" s="41"/>
      <c r="L21" s="41"/>
      <c r="M21" s="41"/>
      <c r="N21" s="41"/>
      <c r="O21" s="41"/>
      <c r="P21" s="41"/>
      <c r="Q21" s="41"/>
      <c r="R21" s="41"/>
      <c r="S21" s="41"/>
      <c r="T21" s="41"/>
      <c r="U21" s="41"/>
      <c r="V21" s="41"/>
      <c r="Y21" s="41"/>
      <c r="Z21" s="41"/>
    </row>
    <row r="22" spans="1:26" x14ac:dyDescent="0.25">
      <c r="A22" s="45" t="s">
        <v>130</v>
      </c>
      <c r="B22" s="46">
        <f>B13+B14+B15+B17+B18+B19+B20</f>
        <v>14720134</v>
      </c>
      <c r="C22" s="46">
        <f>C13+C14+C15+C17+C18+C19+C20</f>
        <v>80400</v>
      </c>
      <c r="D22" s="46">
        <f t="shared" ref="D22:V22" si="13">D13+D14+D15+D17+D18+D19+D20</f>
        <v>80400</v>
      </c>
      <c r="E22" s="46">
        <f t="shared" si="13"/>
        <v>80400</v>
      </c>
      <c r="F22" s="46">
        <f t="shared" si="13"/>
        <v>80400</v>
      </c>
      <c r="G22" s="46">
        <f t="shared" si="13"/>
        <v>80400</v>
      </c>
      <c r="H22" s="46">
        <f t="shared" si="13"/>
        <v>80400</v>
      </c>
      <c r="I22" s="46">
        <f t="shared" si="13"/>
        <v>80400</v>
      </c>
      <c r="J22" s="46">
        <f t="shared" si="13"/>
        <v>80400</v>
      </c>
      <c r="K22" s="46">
        <f t="shared" si="13"/>
        <v>80400</v>
      </c>
      <c r="L22" s="46">
        <f t="shared" si="13"/>
        <v>80400</v>
      </c>
      <c r="M22" s="46">
        <f t="shared" si="13"/>
        <v>80400</v>
      </c>
      <c r="N22" s="46">
        <f t="shared" si="13"/>
        <v>80400</v>
      </c>
      <c r="O22" s="46">
        <f t="shared" si="13"/>
        <v>80400</v>
      </c>
      <c r="P22" s="46">
        <f t="shared" si="13"/>
        <v>322720</v>
      </c>
      <c r="Q22" s="46">
        <f t="shared" si="13"/>
        <v>60000</v>
      </c>
      <c r="R22" s="46">
        <f t="shared" si="13"/>
        <v>80400</v>
      </c>
      <c r="S22" s="46">
        <f t="shared" si="13"/>
        <v>80400</v>
      </c>
      <c r="T22" s="46">
        <f t="shared" si="13"/>
        <v>80400</v>
      </c>
      <c r="U22" s="46">
        <f t="shared" si="13"/>
        <v>80400</v>
      </c>
      <c r="V22" s="46">
        <f t="shared" si="13"/>
        <v>80400</v>
      </c>
      <c r="W22" s="46">
        <f>SUM(B22:V22)</f>
        <v>16550054</v>
      </c>
      <c r="X22" s="41"/>
    </row>
    <row r="23" spans="1:26" ht="60" x14ac:dyDescent="0.25">
      <c r="A23" t="s">
        <v>131</v>
      </c>
      <c r="B23" s="41">
        <f t="shared" ref="B23:V23" si="14">B22*B1</f>
        <v>14720134</v>
      </c>
      <c r="C23" s="41">
        <f t="shared" si="14"/>
        <v>75141.84</v>
      </c>
      <c r="D23" s="41">
        <f t="shared" si="14"/>
        <v>70221.36</v>
      </c>
      <c r="E23" s="41">
        <f t="shared" si="14"/>
        <v>65630.52</v>
      </c>
      <c r="F23" s="41">
        <f t="shared" si="14"/>
        <v>61337.16</v>
      </c>
      <c r="G23" s="41">
        <f t="shared" si="14"/>
        <v>57325.2</v>
      </c>
      <c r="H23" s="41">
        <f t="shared" si="14"/>
        <v>53570.52</v>
      </c>
      <c r="I23" s="41">
        <f t="shared" si="14"/>
        <v>50065.08</v>
      </c>
      <c r="J23" s="41">
        <f t="shared" si="14"/>
        <v>46792.799999999996</v>
      </c>
      <c r="K23" s="41">
        <f t="shared" si="14"/>
        <v>43729.560000000005</v>
      </c>
      <c r="L23" s="41">
        <f t="shared" si="14"/>
        <v>40867.32</v>
      </c>
      <c r="M23" s="41">
        <f t="shared" si="14"/>
        <v>38198.04</v>
      </c>
      <c r="N23" s="41">
        <f t="shared" si="14"/>
        <v>35697.599999999999</v>
      </c>
      <c r="O23" s="41">
        <f t="shared" si="14"/>
        <v>33366</v>
      </c>
      <c r="P23" s="41">
        <f t="shared" si="14"/>
        <v>125150.81599999999</v>
      </c>
      <c r="Q23" s="41">
        <f t="shared" si="14"/>
        <v>21744</v>
      </c>
      <c r="R23" s="41">
        <f t="shared" si="14"/>
        <v>27231.48</v>
      </c>
      <c r="S23" s="41">
        <f t="shared" si="14"/>
        <v>25454.639999999999</v>
      </c>
      <c r="T23" s="41">
        <f t="shared" si="14"/>
        <v>23790.36</v>
      </c>
      <c r="U23" s="41">
        <f t="shared" si="14"/>
        <v>22230.600000000002</v>
      </c>
      <c r="V23" s="41">
        <f t="shared" si="14"/>
        <v>20775.36</v>
      </c>
      <c r="W23" s="48">
        <f>SUM(B23:V23)</f>
        <v>15658454.255999997</v>
      </c>
      <c r="X23" s="49" t="s">
        <v>140</v>
      </c>
    </row>
    <row r="24" spans="1:26" x14ac:dyDescent="0.25">
      <c r="B24" s="41"/>
      <c r="C24" s="41"/>
      <c r="D24" s="41"/>
      <c r="E24" s="41"/>
      <c r="F24" s="41"/>
      <c r="G24" s="41"/>
      <c r="H24" s="41"/>
      <c r="I24" s="41"/>
      <c r="J24" s="41"/>
      <c r="K24" s="41"/>
      <c r="L24" s="41"/>
      <c r="M24" s="41"/>
      <c r="N24" s="41"/>
      <c r="O24" s="41"/>
      <c r="P24" s="41"/>
      <c r="Q24" s="41"/>
      <c r="R24" s="41"/>
      <c r="S24" s="41"/>
      <c r="T24" s="41"/>
      <c r="U24" s="41"/>
      <c r="V24" s="41"/>
    </row>
    <row r="25" spans="1:26" ht="60" x14ac:dyDescent="0.25">
      <c r="A25" s="38" t="s">
        <v>132</v>
      </c>
      <c r="B25" s="41"/>
      <c r="C25" s="41"/>
      <c r="D25" s="41"/>
      <c r="E25" s="41"/>
      <c r="F25" s="41"/>
      <c r="G25" s="41"/>
      <c r="H25" s="41"/>
      <c r="I25" s="41"/>
      <c r="J25" s="41"/>
      <c r="K25" s="41"/>
      <c r="L25" s="41"/>
      <c r="M25" s="41"/>
      <c r="N25" s="41"/>
      <c r="O25" s="41"/>
      <c r="P25" s="41"/>
      <c r="Q25" s="41"/>
      <c r="R25" s="41"/>
      <c r="S25" s="41"/>
      <c r="T25" s="41"/>
      <c r="U25" s="42"/>
      <c r="V25" s="41"/>
      <c r="W25" s="48">
        <f>W10-W23</f>
        <v>22004351.959029973</v>
      </c>
      <c r="X25" s="50" t="s">
        <v>141</v>
      </c>
    </row>
    <row r="26" spans="1:26" x14ac:dyDescent="0.25">
      <c r="B26" s="41"/>
      <c r="C26" s="41"/>
      <c r="D26" s="41"/>
      <c r="E26" s="41"/>
      <c r="F26" s="41"/>
      <c r="G26" s="41"/>
      <c r="H26" s="41"/>
      <c r="I26" s="41"/>
      <c r="J26" s="41"/>
      <c r="K26" s="41"/>
      <c r="L26" s="41"/>
      <c r="M26" s="41"/>
      <c r="N26" s="41"/>
      <c r="O26" s="41"/>
      <c r="P26" s="41"/>
      <c r="Q26" s="41"/>
      <c r="R26" s="41"/>
      <c r="S26" s="41"/>
      <c r="T26" s="41"/>
      <c r="U26" s="41"/>
      <c r="V26" s="41"/>
    </row>
    <row r="27" spans="1:26" x14ac:dyDescent="0.25">
      <c r="A27" s="43" t="s">
        <v>134</v>
      </c>
      <c r="B27" s="44">
        <v>1</v>
      </c>
      <c r="C27" s="44">
        <v>0.97089999999999999</v>
      </c>
      <c r="D27" s="44">
        <v>0.94259999999999999</v>
      </c>
      <c r="E27" s="44">
        <v>0.91510000000000002</v>
      </c>
      <c r="F27" s="44">
        <v>0.88849999999999996</v>
      </c>
      <c r="G27" s="44">
        <v>0.86260000000000003</v>
      </c>
      <c r="H27" s="44">
        <v>0.83750000000000002</v>
      </c>
      <c r="I27" s="44">
        <v>0.81310000000000004</v>
      </c>
      <c r="J27" s="44">
        <v>0.78939999999999999</v>
      </c>
      <c r="K27" s="44">
        <v>0.76639999999999997</v>
      </c>
      <c r="L27" s="44">
        <v>0.74409999999999998</v>
      </c>
      <c r="M27" s="44">
        <v>0.72240000000000004</v>
      </c>
      <c r="N27" s="44">
        <v>0.70140000000000002</v>
      </c>
      <c r="O27" s="44">
        <v>0.68100000000000005</v>
      </c>
      <c r="P27" s="44">
        <v>0.66110000000000002</v>
      </c>
      <c r="Q27" s="44">
        <v>0.64190000000000003</v>
      </c>
      <c r="R27" s="44">
        <v>0.62319999999999998</v>
      </c>
      <c r="S27" s="44">
        <v>0.60499999999999998</v>
      </c>
      <c r="T27" s="44">
        <v>0.58740000000000003</v>
      </c>
      <c r="U27" s="44">
        <v>0.57030000000000003</v>
      </c>
      <c r="V27" s="44">
        <v>0.55369999999999997</v>
      </c>
    </row>
    <row r="28" spans="1:26" x14ac:dyDescent="0.25">
      <c r="A28" t="s">
        <v>120</v>
      </c>
      <c r="B28" s="41">
        <f>B9*B27</f>
        <v>0</v>
      </c>
      <c r="C28" s="41">
        <f>C9*C27</f>
        <v>2274663.5429427419</v>
      </c>
      <c r="D28" s="41">
        <f t="shared" ref="D28:K28" si="15">D9*D27</f>
        <v>2219206.1375891631</v>
      </c>
      <c r="E28" s="41">
        <f t="shared" si="15"/>
        <v>2165042.8513072659</v>
      </c>
      <c r="F28" s="41">
        <f t="shared" si="15"/>
        <v>3097292.5225611748</v>
      </c>
      <c r="G28" s="41">
        <f t="shared" si="15"/>
        <v>3786130.8465071116</v>
      </c>
      <c r="H28" s="41">
        <f t="shared" si="15"/>
        <v>4523291.6468338799</v>
      </c>
      <c r="I28" s="41">
        <f t="shared" si="15"/>
        <v>1961799.8341067524</v>
      </c>
      <c r="J28" s="41">
        <f t="shared" si="15"/>
        <v>1913976.1155403208</v>
      </c>
      <c r="K28" s="41">
        <f t="shared" si="15"/>
        <v>1867341.4189596165</v>
      </c>
      <c r="L28" s="41">
        <f t="shared" ref="L28" si="16">L9*L27</f>
        <v>3188841.2443959974</v>
      </c>
      <c r="M28" s="41">
        <f t="shared" ref="M28" si="17">M9*M27</f>
        <v>3111174.25194823</v>
      </c>
      <c r="N28" s="41">
        <f t="shared" ref="N28" si="18">N9*N27</f>
        <v>3035690.3393248557</v>
      </c>
      <c r="O28" s="41">
        <f t="shared" ref="O28" si="19">O9*O27</f>
        <v>2961993.018395551</v>
      </c>
      <c r="P28" s="41">
        <f t="shared" ref="P28" si="20">P9*P27</f>
        <v>2889677.5913646733</v>
      </c>
      <c r="Q28" s="41">
        <f t="shared" ref="Q28" si="21">Q9*Q27</f>
        <v>2819648.8447322268</v>
      </c>
      <c r="R28" s="41">
        <f t="shared" ref="R28" si="22">R9*R27</f>
        <v>2751063.4851820576</v>
      </c>
      <c r="S28" s="41">
        <f t="shared" ref="S28" si="23">S9*S27</f>
        <v>2683948.4000646672</v>
      </c>
      <c r="T28" s="41">
        <f t="shared" ref="T28" si="24">T9*T27</f>
        <v>2618776.5897914637</v>
      </c>
      <c r="U28" s="41">
        <f t="shared" ref="U28" si="25">U9*U27</f>
        <v>2555134.1115267989</v>
      </c>
      <c r="V28" s="41">
        <f t="shared" ref="V28" si="26">V9*V27</f>
        <v>2493048.7571132379</v>
      </c>
      <c r="W28" s="41">
        <f>SUM(B28:V28)</f>
        <v>54917741.550187789</v>
      </c>
    </row>
    <row r="29" spans="1:26" x14ac:dyDescent="0.25">
      <c r="A29" t="s">
        <v>131</v>
      </c>
      <c r="B29" s="41">
        <f>B22*B27</f>
        <v>14720134</v>
      </c>
      <c r="C29" s="41">
        <f t="shared" ref="C29:V29" si="27">C22*C27</f>
        <v>78060.36</v>
      </c>
      <c r="D29" s="41">
        <f t="shared" si="27"/>
        <v>75785.039999999994</v>
      </c>
      <c r="E29" s="41">
        <f t="shared" si="27"/>
        <v>73574.040000000008</v>
      </c>
      <c r="F29" s="41">
        <f t="shared" si="27"/>
        <v>71435.399999999994</v>
      </c>
      <c r="G29" s="41">
        <f t="shared" si="27"/>
        <v>69353.040000000008</v>
      </c>
      <c r="H29" s="41">
        <f t="shared" si="27"/>
        <v>67335</v>
      </c>
      <c r="I29" s="41">
        <f t="shared" si="27"/>
        <v>65373.240000000005</v>
      </c>
      <c r="J29" s="41">
        <f t="shared" si="27"/>
        <v>63467.76</v>
      </c>
      <c r="K29" s="41">
        <f t="shared" si="27"/>
        <v>61618.559999999998</v>
      </c>
      <c r="L29" s="41">
        <f t="shared" si="27"/>
        <v>59825.64</v>
      </c>
      <c r="M29" s="41">
        <f t="shared" si="27"/>
        <v>58080.960000000006</v>
      </c>
      <c r="N29" s="41">
        <f t="shared" si="27"/>
        <v>56392.560000000005</v>
      </c>
      <c r="O29" s="41">
        <f t="shared" si="27"/>
        <v>54752.4</v>
      </c>
      <c r="P29" s="41">
        <f t="shared" si="27"/>
        <v>213350.19200000001</v>
      </c>
      <c r="Q29" s="41">
        <f t="shared" si="27"/>
        <v>38514</v>
      </c>
      <c r="R29" s="41">
        <f t="shared" si="27"/>
        <v>50105.279999999999</v>
      </c>
      <c r="S29" s="41">
        <f t="shared" si="27"/>
        <v>48642</v>
      </c>
      <c r="T29" s="41">
        <f t="shared" si="27"/>
        <v>47226.96</v>
      </c>
      <c r="U29" s="41">
        <f t="shared" si="27"/>
        <v>45852.12</v>
      </c>
      <c r="V29" s="41">
        <f t="shared" si="27"/>
        <v>44517.479999999996</v>
      </c>
      <c r="W29" s="41">
        <f>SUM(B29:V29)</f>
        <v>16063396.032</v>
      </c>
    </row>
    <row r="30" spans="1:26" ht="45" x14ac:dyDescent="0.25">
      <c r="A30" s="38" t="s">
        <v>137</v>
      </c>
      <c r="B30" s="41"/>
      <c r="C30" s="41"/>
      <c r="D30" s="41"/>
      <c r="E30" s="41"/>
      <c r="F30" s="41"/>
      <c r="G30" s="41"/>
      <c r="H30" s="41"/>
      <c r="I30" s="41"/>
      <c r="J30" s="41"/>
      <c r="K30" s="41"/>
      <c r="L30" s="41"/>
      <c r="M30" s="41"/>
      <c r="N30" s="41"/>
      <c r="O30" s="41"/>
      <c r="P30" s="41"/>
      <c r="Q30" s="41"/>
      <c r="R30" s="41"/>
      <c r="S30" s="41"/>
      <c r="T30" s="41"/>
      <c r="V30" s="51" t="s">
        <v>146</v>
      </c>
      <c r="W30" s="52">
        <f>W28-W29</f>
        <v>38854345.518187791</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12" workbookViewId="0">
      <selection activeCell="G31" sqref="G31"/>
    </sheetView>
  </sheetViews>
  <sheetFormatPr defaultColWidth="8.85546875" defaultRowHeight="15" x14ac:dyDescent="0.25"/>
  <cols>
    <col min="1" max="25" width="15.7109375" style="20" customWidth="1"/>
    <col min="26" max="16384" width="8.85546875" style="20"/>
  </cols>
  <sheetData>
    <row r="1" spans="1:23" x14ac:dyDescent="0.25">
      <c r="A1" s="66" t="s">
        <v>71</v>
      </c>
      <c r="B1" s="66"/>
    </row>
    <row r="2" spans="1:23" ht="30" x14ac:dyDescent="0.25">
      <c r="A2" s="26" t="s">
        <v>58</v>
      </c>
      <c r="B2" s="25" t="s">
        <v>66</v>
      </c>
    </row>
    <row r="3" spans="1:23" ht="45" x14ac:dyDescent="0.25">
      <c r="A3" s="26" t="s">
        <v>59</v>
      </c>
      <c r="B3" s="25">
        <v>1</v>
      </c>
    </row>
    <row r="5" spans="1:23" ht="14.45" customHeight="1" x14ac:dyDescent="0.25">
      <c r="A5" s="66" t="s">
        <v>62</v>
      </c>
      <c r="B5" s="66"/>
      <c r="C5" s="66"/>
      <c r="D5" s="66"/>
      <c r="E5" s="66"/>
      <c r="F5" s="66"/>
      <c r="G5" s="66"/>
      <c r="H5" s="66"/>
      <c r="I5" s="66"/>
      <c r="J5" s="66"/>
      <c r="K5" s="66"/>
      <c r="L5" s="66"/>
      <c r="M5" s="66"/>
      <c r="N5" s="66"/>
      <c r="O5" s="66"/>
      <c r="P5" s="66"/>
      <c r="Q5" s="66"/>
      <c r="R5" s="66"/>
      <c r="S5" s="66"/>
      <c r="T5" s="66"/>
      <c r="U5" s="66"/>
      <c r="V5" s="66"/>
      <c r="W5" s="66"/>
    </row>
    <row r="6" spans="1:23" ht="30" x14ac:dyDescent="0.25">
      <c r="A6" s="26" t="s">
        <v>9</v>
      </c>
      <c r="B6" s="26" t="s">
        <v>1</v>
      </c>
      <c r="C6" s="27" t="s">
        <v>51</v>
      </c>
      <c r="D6" s="26">
        <v>2017</v>
      </c>
      <c r="E6" s="26">
        <v>2018</v>
      </c>
      <c r="F6" s="26">
        <v>2019</v>
      </c>
      <c r="G6" s="26">
        <v>2020</v>
      </c>
      <c r="H6" s="26">
        <v>2021</v>
      </c>
      <c r="I6" s="26">
        <v>2022</v>
      </c>
      <c r="J6" s="26">
        <v>2023</v>
      </c>
      <c r="K6" s="26">
        <v>2024</v>
      </c>
      <c r="L6" s="26">
        <v>2025</v>
      </c>
      <c r="M6" s="26">
        <v>2026</v>
      </c>
      <c r="N6" s="26">
        <v>2027</v>
      </c>
      <c r="O6" s="26">
        <v>2028</v>
      </c>
      <c r="P6" s="26">
        <v>2029</v>
      </c>
      <c r="Q6" s="26">
        <v>2030</v>
      </c>
      <c r="R6" s="26">
        <v>2031</v>
      </c>
      <c r="S6" s="26">
        <v>2032</v>
      </c>
      <c r="T6" s="26">
        <v>2033</v>
      </c>
      <c r="U6" s="26">
        <v>2034</v>
      </c>
      <c r="V6" s="26">
        <v>2035</v>
      </c>
      <c r="W6" s="26">
        <v>2036</v>
      </c>
    </row>
    <row r="7" spans="1:23" x14ac:dyDescent="0.25">
      <c r="A7" s="28">
        <v>1</v>
      </c>
      <c r="B7" s="28" t="s">
        <v>13</v>
      </c>
      <c r="C7" s="25">
        <v>0</v>
      </c>
      <c r="D7" s="35">
        <f>$C7*(1+$B$37)^2*$B$3</f>
        <v>0</v>
      </c>
      <c r="E7" s="35">
        <f>$C7*(1+$B$37)^3*$B$3</f>
        <v>0</v>
      </c>
      <c r="F7" s="35">
        <f>$C7*(1+$B$37)^4*$B$3</f>
        <v>0</v>
      </c>
      <c r="G7" s="35">
        <f>$C7*(1+$B$37)^5*$B$3</f>
        <v>0</v>
      </c>
      <c r="H7" s="35">
        <f>$C7*(1+$B$37)^6*$B$3</f>
        <v>0</v>
      </c>
      <c r="I7" s="35">
        <f>$C7*(1+$B$37)^7*$B$3</f>
        <v>0</v>
      </c>
      <c r="J7" s="35">
        <f>$C7*(1+$B$37)^8*$B$3</f>
        <v>0</v>
      </c>
      <c r="K7" s="35">
        <f>$C7*(1+$B$37)^9*$B$3</f>
        <v>0</v>
      </c>
      <c r="L7" s="35">
        <f>$C7*(1+$B$37)^10*$B$3</f>
        <v>0</v>
      </c>
      <c r="M7" s="35">
        <f>$C7*(1+$B$37)^11*$B$3</f>
        <v>0</v>
      </c>
      <c r="N7" s="35">
        <f>$C7*(1+$B$37)^12*$B$3</f>
        <v>0</v>
      </c>
      <c r="O7" s="35">
        <f>$C7*(1+$B$37)^13*$B$3</f>
        <v>0</v>
      </c>
      <c r="P7" s="35">
        <f>$C7*(1+$B$37)^14*$B$3</f>
        <v>0</v>
      </c>
      <c r="Q7" s="35">
        <f>$C7*(1+$B$37)^15*$B$3</f>
        <v>0</v>
      </c>
      <c r="R7" s="35">
        <f>$C7*(1+$B$37)^16*$B$3</f>
        <v>0</v>
      </c>
      <c r="S7" s="35">
        <f>$C7*(1+$B$37)^17*$B$3</f>
        <v>0</v>
      </c>
      <c r="T7" s="35">
        <f>$C7*(1+$B$37)^18*$B$3</f>
        <v>0</v>
      </c>
      <c r="U7" s="35">
        <f>$C7*(1+$B$37)^19*$B$3</f>
        <v>0</v>
      </c>
      <c r="V7" s="35">
        <f>$C7*(1+$B$37)^20*$B$3</f>
        <v>0</v>
      </c>
      <c r="W7" s="35">
        <f>$C7*(1+$B$37)^21*$B$3</f>
        <v>0</v>
      </c>
    </row>
    <row r="8" spans="1:23" x14ac:dyDescent="0.25">
      <c r="A8" s="28">
        <v>2</v>
      </c>
      <c r="B8" s="28" t="s">
        <v>12</v>
      </c>
      <c r="C8" s="25">
        <v>0.185</v>
      </c>
      <c r="D8" s="35">
        <f>$C8*(1+$B$37)^2*$B$3</f>
        <v>0.18685462499999994</v>
      </c>
      <c r="E8" s="35">
        <f>$C8*(1+$B$37)^3*$B$3</f>
        <v>0.18778889812499994</v>
      </c>
      <c r="F8" s="35">
        <f>$C8*(1+$B$37)^4*$B$3</f>
        <v>0.18872784261562486</v>
      </c>
      <c r="G8" s="35">
        <f>$C8*(1+$B$37)^5*$B$3</f>
        <v>0.18967148182870297</v>
      </c>
      <c r="H8" s="35">
        <f>$C8*(1+$B$37)^6*$B$3</f>
        <v>0.19061983923784645</v>
      </c>
      <c r="I8" s="35">
        <f>$C8*(1+$B$37)^7*$B$3</f>
        <v>0.19157293843403567</v>
      </c>
      <c r="J8" s="35">
        <f>$C8*(1+$B$37)^8*$B$3</f>
        <v>0.19253080312620582</v>
      </c>
      <c r="K8" s="35">
        <f>$C8*(1+$B$37)^9*$B$3</f>
        <v>0.19349345714183686</v>
      </c>
      <c r="L8" s="35">
        <f>$C8*(1+$B$37)^10*$B$3</f>
        <v>0.19446092442754598</v>
      </c>
      <c r="M8" s="35">
        <f>$C8*(1+$B$37)^11*$B$3</f>
        <v>0.19543322904968372</v>
      </c>
      <c r="N8" s="35">
        <f>$C8*(1+$B$37)^12*$B$3</f>
        <v>0.19641039519493206</v>
      </c>
      <c r="O8" s="35">
        <f>$C8*(1+$B$37)^13*$B$3</f>
        <v>0.1973924471709067</v>
      </c>
      <c r="P8" s="35">
        <f>$C8*(1+$B$37)^14*$B$3</f>
        <v>0.19837940940676119</v>
      </c>
      <c r="Q8" s="35">
        <f>$C8*(1+$B$37)^15*$B$3</f>
        <v>0.19937130645379494</v>
      </c>
      <c r="R8" s="35">
        <f>$C8*(1+$B$37)^16*$B$3</f>
        <v>0.20036816298606391</v>
      </c>
      <c r="S8" s="35">
        <f>$C8*(1+$B$37)^17*$B$3</f>
        <v>0.20137000380099424</v>
      </c>
      <c r="T8" s="35">
        <f>$C8*(1+$B$37)^18*$B$3</f>
        <v>0.20237685381999912</v>
      </c>
      <c r="U8" s="35">
        <f>$C8*(1+$B$37)^19*$B$3</f>
        <v>0.2033887380890991</v>
      </c>
      <c r="V8" s="35">
        <f>$C8*(1+$B$37)^20*$B$3</f>
        <v>0.20440568177954457</v>
      </c>
      <c r="W8" s="35">
        <f>$C8*(1+$B$37)^21*$B$3</f>
        <v>0.20542771018844225</v>
      </c>
    </row>
    <row r="9" spans="1:23" ht="30" x14ac:dyDescent="0.25">
      <c r="A9" s="28">
        <v>3</v>
      </c>
      <c r="B9" s="28" t="s">
        <v>53</v>
      </c>
      <c r="C9" s="25">
        <v>1.665</v>
      </c>
      <c r="D9" s="35">
        <f>$C9*(1+$B$37)^2*$B$3</f>
        <v>1.6816916249999996</v>
      </c>
      <c r="E9" s="35">
        <f>$C9*(1+$B$37)^3*$B$3</f>
        <v>1.6901000831249995</v>
      </c>
      <c r="F9" s="35">
        <f>$C9*(1+$B$37)^4*$B$3</f>
        <v>1.698550583540624</v>
      </c>
      <c r="G9" s="35">
        <f>$C9*(1+$B$37)^5*$B$3</f>
        <v>1.7070433364583268</v>
      </c>
      <c r="H9" s="35">
        <f>$C9*(1+$B$37)^6*$B$3</f>
        <v>1.715578553140618</v>
      </c>
      <c r="I9" s="35">
        <f>$C9*(1+$B$37)^7*$B$3</f>
        <v>1.724156445906321</v>
      </c>
      <c r="J9" s="35">
        <f>$C9*(1+$B$37)^8*$B$3</f>
        <v>1.7327772281358524</v>
      </c>
      <c r="K9" s="35">
        <f>$C9*(1+$B$37)^9*$B$3</f>
        <v>1.7414411142765316</v>
      </c>
      <c r="L9" s="35">
        <f>$C9*(1+$B$37)^10*$B$3</f>
        <v>1.750148319847914</v>
      </c>
      <c r="M9" s="35">
        <f>$C9*(1+$B$37)^11*$B$3</f>
        <v>1.7588990614471534</v>
      </c>
      <c r="N9" s="35">
        <f>$C9*(1+$B$37)^12*$B$3</f>
        <v>1.7676935567543886</v>
      </c>
      <c r="O9" s="35">
        <f>$C9*(1+$B$37)^13*$B$3</f>
        <v>1.7765320245381604</v>
      </c>
      <c r="P9" s="35">
        <f>$C9*(1+$B$37)^14*$B$3</f>
        <v>1.7854146846608507</v>
      </c>
      <c r="Q9" s="35">
        <f>$C9*(1+$B$37)^15*$B$3</f>
        <v>1.7943417580841547</v>
      </c>
      <c r="R9" s="35">
        <f>$C9*(1+$B$37)^16*$B$3</f>
        <v>1.8033134668745752</v>
      </c>
      <c r="S9" s="35">
        <f>$C9*(1+$B$37)^17*$B$3</f>
        <v>1.8123300342089481</v>
      </c>
      <c r="T9" s="35">
        <f>$C9*(1+$B$37)^18*$B$3</f>
        <v>1.8213916843799922</v>
      </c>
      <c r="U9" s="35">
        <f>$C9*(1+$B$37)^19*$B$3</f>
        <v>1.8304986428018921</v>
      </c>
      <c r="V9" s="35">
        <f>$C9*(1+$B$37)^20*$B$3</f>
        <v>1.8396511360159014</v>
      </c>
      <c r="W9" s="35">
        <f>$C9*(1+$B$37)^21*$B$3</f>
        <v>1.8488493916959803</v>
      </c>
    </row>
    <row r="10" spans="1:23" x14ac:dyDescent="0.25">
      <c r="A10" s="28">
        <v>4</v>
      </c>
      <c r="B10" s="28" t="s">
        <v>11</v>
      </c>
      <c r="C10" s="36">
        <v>2.2200000000000002</v>
      </c>
      <c r="D10" s="35">
        <f>$C10*(1+$B$37)^2*$B$3</f>
        <v>2.2422554999999997</v>
      </c>
      <c r="E10" s="35">
        <f>$C10*(1+$B$37)^3*$B$3</f>
        <v>2.2534667774999995</v>
      </c>
      <c r="F10" s="35">
        <f>$C10*(1+$B$37)^4*$B$3</f>
        <v>2.2647341113874986</v>
      </c>
      <c r="G10" s="35">
        <f>$C10*(1+$B$37)^5*$B$3</f>
        <v>2.2760577819444356</v>
      </c>
      <c r="H10" s="35">
        <f>$C10*(1+$B$37)^6*$B$3</f>
        <v>2.2874380708541575</v>
      </c>
      <c r="I10" s="35">
        <f>$C10*(1+$B$37)^7*$B$3</f>
        <v>2.298875261208428</v>
      </c>
      <c r="J10" s="35">
        <f>$C10*(1+$B$37)^8*$B$3</f>
        <v>2.3103696375144702</v>
      </c>
      <c r="K10" s="35">
        <f>$C10*(1+$B$37)^9*$B$3</f>
        <v>2.3219214857020423</v>
      </c>
      <c r="L10" s="35">
        <f>$C10*(1+$B$37)^10*$B$3</f>
        <v>2.333531093130552</v>
      </c>
      <c r="M10" s="35">
        <f>$C10*(1+$B$37)^11*$B$3</f>
        <v>2.3451987485962049</v>
      </c>
      <c r="N10" s="35">
        <f>$C10*(1+$B$37)^12*$B$3</f>
        <v>2.356924742339185</v>
      </c>
      <c r="O10" s="35">
        <f>$C10*(1+$B$37)^13*$B$3</f>
        <v>2.3687093660508807</v>
      </c>
      <c r="P10" s="35">
        <f>$C10*(1+$B$37)^14*$B$3</f>
        <v>2.3805529128811345</v>
      </c>
      <c r="Q10" s="35">
        <f>$C10*(1+$B$37)^15*$B$3</f>
        <v>2.3924556774455397</v>
      </c>
      <c r="R10" s="35">
        <f>$C10*(1+$B$37)^16*$B$3</f>
        <v>2.4044179558327672</v>
      </c>
      <c r="S10" s="35">
        <f>$C10*(1+$B$37)^17*$B$3</f>
        <v>2.4164400456119308</v>
      </c>
      <c r="T10" s="35">
        <f>$C10*(1+$B$37)^18*$B$3</f>
        <v>2.4285222458399898</v>
      </c>
      <c r="U10" s="35">
        <f>$C10*(1+$B$37)^19*$B$3</f>
        <v>2.4406648570691893</v>
      </c>
      <c r="V10" s="35">
        <f>$C10*(1+$B$37)^20*$B$3</f>
        <v>2.4528681813545354</v>
      </c>
      <c r="W10" s="35">
        <f>$C10*(1+$B$37)^21*$B$3</f>
        <v>2.4651325222613072</v>
      </c>
    </row>
    <row r="11" spans="1:23" ht="45" x14ac:dyDescent="0.25">
      <c r="A11" s="28">
        <v>5</v>
      </c>
      <c r="B11" s="28" t="s">
        <v>55</v>
      </c>
      <c r="C11" s="36">
        <v>5.18</v>
      </c>
      <c r="D11" s="35">
        <f>$C11*(1+$B$37)^2*$B$3</f>
        <v>5.2319294999999979</v>
      </c>
      <c r="E11" s="35">
        <f>$C11*(1+$B$37)^3*$B$3</f>
        <v>5.258089147499998</v>
      </c>
      <c r="F11" s="35">
        <f>$C11*(1+$B$37)^4*$B$3</f>
        <v>5.284379593237496</v>
      </c>
      <c r="G11" s="35">
        <f>$C11*(1+$B$37)^5*$B$3</f>
        <v>5.3108014912036827</v>
      </c>
      <c r="H11" s="35">
        <f>$C11*(1+$B$37)^6*$B$3</f>
        <v>5.3373554986597007</v>
      </c>
      <c r="I11" s="35">
        <f>$C11*(1+$B$37)^7*$B$3</f>
        <v>5.3640422761529987</v>
      </c>
      <c r="J11" s="35">
        <f>$C11*(1+$B$37)^8*$B$3</f>
        <v>5.390862487533763</v>
      </c>
      <c r="K11" s="35">
        <f>$C11*(1+$B$37)^9*$B$3</f>
        <v>5.4178167999714315</v>
      </c>
      <c r="L11" s="35">
        <f>$C11*(1+$B$37)^10*$B$3</f>
        <v>5.4449058839712876</v>
      </c>
      <c r="M11" s="35">
        <f>$C11*(1+$B$37)^11*$B$3</f>
        <v>5.4721304133911435</v>
      </c>
      <c r="N11" s="35">
        <f>$C11*(1+$B$37)^12*$B$3</f>
        <v>5.4994910654580975</v>
      </c>
      <c r="O11" s="35">
        <f>$C11*(1+$B$37)^13*$B$3</f>
        <v>5.5269885207853875</v>
      </c>
      <c r="P11" s="35">
        <f>$C11*(1+$B$37)^14*$B$3</f>
        <v>5.554623463389313</v>
      </c>
      <c r="Q11" s="35">
        <f>$C11*(1+$B$37)^15*$B$3</f>
        <v>5.5823965807062583</v>
      </c>
      <c r="R11" s="35">
        <f>$C11*(1+$B$37)^16*$B$3</f>
        <v>5.6103085636097889</v>
      </c>
      <c r="S11" s="35">
        <f>$C11*(1+$B$37)^17*$B$3</f>
        <v>5.6383601064278377</v>
      </c>
      <c r="T11" s="35">
        <f>$C11*(1+$B$37)^18*$B$3</f>
        <v>5.6665519069599757</v>
      </c>
      <c r="U11" s="35">
        <f>$C11*(1+$B$37)^19*$B$3</f>
        <v>5.694884666494775</v>
      </c>
      <c r="V11" s="35">
        <f>$C11*(1+$B$37)^20*$B$3</f>
        <v>5.7233590898272482</v>
      </c>
      <c r="W11" s="35">
        <f>$C11*(1+$B$37)^21*$B$3</f>
        <v>5.7519758852763827</v>
      </c>
    </row>
    <row r="13" spans="1:23" ht="14.45" customHeight="1"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row>
    <row r="14" spans="1:23" ht="30" x14ac:dyDescent="0.25">
      <c r="A14" s="26" t="s">
        <v>9</v>
      </c>
      <c r="B14" s="26" t="s">
        <v>1</v>
      </c>
      <c r="C14" s="26" t="s">
        <v>57</v>
      </c>
      <c r="D14" s="26">
        <v>2017</v>
      </c>
      <c r="E14" s="26">
        <v>2018</v>
      </c>
      <c r="F14" s="26">
        <v>2019</v>
      </c>
      <c r="G14" s="26">
        <v>2020</v>
      </c>
      <c r="H14" s="26">
        <v>2021</v>
      </c>
      <c r="I14" s="26">
        <v>2022</v>
      </c>
      <c r="J14" s="26">
        <v>2023</v>
      </c>
      <c r="K14" s="26">
        <v>2024</v>
      </c>
      <c r="L14" s="26">
        <v>2025</v>
      </c>
      <c r="M14" s="26">
        <v>2026</v>
      </c>
      <c r="N14" s="26">
        <v>2027</v>
      </c>
      <c r="O14" s="26">
        <v>2028</v>
      </c>
      <c r="P14" s="26">
        <v>2029</v>
      </c>
      <c r="Q14" s="26">
        <v>2030</v>
      </c>
      <c r="R14" s="26">
        <v>2031</v>
      </c>
      <c r="S14" s="26">
        <v>2032</v>
      </c>
      <c r="T14" s="26">
        <v>2033</v>
      </c>
      <c r="U14" s="26">
        <v>2034</v>
      </c>
      <c r="V14" s="26">
        <v>2035</v>
      </c>
      <c r="W14" s="26">
        <v>2036</v>
      </c>
    </row>
    <row r="15" spans="1:23" x14ac:dyDescent="0.25">
      <c r="A15" s="28">
        <v>1</v>
      </c>
      <c r="B15" s="28" t="s">
        <v>13</v>
      </c>
      <c r="C15" s="31">
        <f>D32+2*D33</f>
        <v>9299932.5399999991</v>
      </c>
      <c r="D15" s="31">
        <f t="shared" ref="D15:W15" si="0">D$7*$C$15</f>
        <v>0</v>
      </c>
      <c r="E15" s="31">
        <f t="shared" si="0"/>
        <v>0</v>
      </c>
      <c r="F15" s="31">
        <f t="shared" si="0"/>
        <v>0</v>
      </c>
      <c r="G15" s="31">
        <f t="shared" si="0"/>
        <v>0</v>
      </c>
      <c r="H15" s="31">
        <f t="shared" si="0"/>
        <v>0</v>
      </c>
      <c r="I15" s="31">
        <f t="shared" si="0"/>
        <v>0</v>
      </c>
      <c r="J15" s="31">
        <f t="shared" si="0"/>
        <v>0</v>
      </c>
      <c r="K15" s="31">
        <f t="shared" si="0"/>
        <v>0</v>
      </c>
      <c r="L15" s="31">
        <f t="shared" si="0"/>
        <v>0</v>
      </c>
      <c r="M15" s="31">
        <f t="shared" si="0"/>
        <v>0</v>
      </c>
      <c r="N15" s="31">
        <f t="shared" si="0"/>
        <v>0</v>
      </c>
      <c r="O15" s="31">
        <f t="shared" si="0"/>
        <v>0</v>
      </c>
      <c r="P15" s="31">
        <f t="shared" si="0"/>
        <v>0</v>
      </c>
      <c r="Q15" s="31">
        <f t="shared" si="0"/>
        <v>0</v>
      </c>
      <c r="R15" s="31">
        <f t="shared" si="0"/>
        <v>0</v>
      </c>
      <c r="S15" s="31">
        <f t="shared" si="0"/>
        <v>0</v>
      </c>
      <c r="T15" s="31">
        <f t="shared" si="0"/>
        <v>0</v>
      </c>
      <c r="U15" s="31">
        <f t="shared" si="0"/>
        <v>0</v>
      </c>
      <c r="V15" s="31">
        <f t="shared" si="0"/>
        <v>0</v>
      </c>
      <c r="W15" s="31">
        <f t="shared" si="0"/>
        <v>0</v>
      </c>
    </row>
    <row r="16" spans="1:23" x14ac:dyDescent="0.25">
      <c r="A16" s="28">
        <v>2</v>
      </c>
      <c r="B16" s="28" t="s">
        <v>12</v>
      </c>
      <c r="C16" s="31">
        <f>0.03437*D26+0.55449*D27+0.20908*D28+0.14437*D29+0.03986*D30+0.01783*D31+0*D32+2*D33</f>
        <v>453530.47675999999</v>
      </c>
      <c r="D16" s="31">
        <f t="shared" ref="D16:W16" si="1">D$8*$C$16</f>
        <v>84744.267161060983</v>
      </c>
      <c r="E16" s="31">
        <f t="shared" si="1"/>
        <v>85167.988496866295</v>
      </c>
      <c r="F16" s="31">
        <f t="shared" si="1"/>
        <v>85593.828439350589</v>
      </c>
      <c r="G16" s="31">
        <f t="shared" si="1"/>
        <v>86021.797581547333</v>
      </c>
      <c r="H16" s="31">
        <f t="shared" si="1"/>
        <v>86451.906569455052</v>
      </c>
      <c r="I16" s="31">
        <f t="shared" si="1"/>
        <v>86884.166102302319</v>
      </c>
      <c r="J16" s="31">
        <f t="shared" si="1"/>
        <v>87318.586932813821</v>
      </c>
      <c r="K16" s="31">
        <f t="shared" si="1"/>
        <v>87755.179867477898</v>
      </c>
      <c r="L16" s="31">
        <f t="shared" si="1"/>
        <v>88193.955766815256</v>
      </c>
      <c r="M16" s="31">
        <f t="shared" si="1"/>
        <v>88634.925545649341</v>
      </c>
      <c r="N16" s="31">
        <f t="shared" si="1"/>
        <v>89078.100173377548</v>
      </c>
      <c r="O16" s="31">
        <f t="shared" si="1"/>
        <v>89523.490674244429</v>
      </c>
      <c r="P16" s="31">
        <f t="shared" si="1"/>
        <v>89971.108127615633</v>
      </c>
      <c r="Q16" s="31">
        <f t="shared" si="1"/>
        <v>90420.96366825368</v>
      </c>
      <c r="R16" s="31">
        <f t="shared" si="1"/>
        <v>90873.068486594944</v>
      </c>
      <c r="S16" s="31">
        <f t="shared" si="1"/>
        <v>91327.433829027927</v>
      </c>
      <c r="T16" s="31">
        <f t="shared" si="1"/>
        <v>91784.070998173032</v>
      </c>
      <c r="U16" s="31">
        <f t="shared" si="1"/>
        <v>92242.991353163889</v>
      </c>
      <c r="V16" s="31">
        <f t="shared" si="1"/>
        <v>92704.206309929694</v>
      </c>
      <c r="W16" s="31">
        <f t="shared" si="1"/>
        <v>93167.727341479316</v>
      </c>
    </row>
    <row r="17" spans="1:25" ht="30" x14ac:dyDescent="0.25">
      <c r="A17" s="28">
        <v>3</v>
      </c>
      <c r="B17" s="28" t="s">
        <v>53</v>
      </c>
      <c r="C17" s="31">
        <f>0.08347*D26+0.76843*D27+0.10898*D28+0.03191*D29+0.0062*D30+0.00101*D31+0*D32+2*D33</f>
        <v>129158.27075999998</v>
      </c>
      <c r="D17" s="31">
        <f t="shared" ref="D17:W17" si="2">D$9*$C$17</f>
        <v>217204.38223657431</v>
      </c>
      <c r="E17" s="31">
        <f t="shared" si="2"/>
        <v>218290.40414775716</v>
      </c>
      <c r="F17" s="31">
        <f t="shared" si="2"/>
        <v>219381.8561684959</v>
      </c>
      <c r="G17" s="31">
        <f t="shared" si="2"/>
        <v>220478.76544933833</v>
      </c>
      <c r="H17" s="31">
        <f t="shared" si="2"/>
        <v>221581.15927658498</v>
      </c>
      <c r="I17" s="31">
        <f t="shared" si="2"/>
        <v>222689.06507296787</v>
      </c>
      <c r="J17" s="31">
        <f t="shared" si="2"/>
        <v>223802.5103983327</v>
      </c>
      <c r="K17" s="31">
        <f t="shared" si="2"/>
        <v>224921.52295032435</v>
      </c>
      <c r="L17" s="31">
        <f t="shared" si="2"/>
        <v>226046.13056507593</v>
      </c>
      <c r="M17" s="31">
        <f t="shared" si="2"/>
        <v>227176.36121790129</v>
      </c>
      <c r="N17" s="31">
        <f t="shared" si="2"/>
        <v>228312.24302399071</v>
      </c>
      <c r="O17" s="31">
        <f t="shared" si="2"/>
        <v>229453.80423911064</v>
      </c>
      <c r="P17" s="31">
        <f t="shared" si="2"/>
        <v>230601.07326030615</v>
      </c>
      <c r="Q17" s="31">
        <f t="shared" si="2"/>
        <v>231754.07862660766</v>
      </c>
      <c r="R17" s="31">
        <f t="shared" si="2"/>
        <v>232912.84901974065</v>
      </c>
      <c r="S17" s="31">
        <f t="shared" si="2"/>
        <v>234077.41326483936</v>
      </c>
      <c r="T17" s="31">
        <f t="shared" si="2"/>
        <v>235247.80033116348</v>
      </c>
      <c r="U17" s="31">
        <f t="shared" si="2"/>
        <v>236424.03933281929</v>
      </c>
      <c r="V17" s="31">
        <f t="shared" si="2"/>
        <v>237606.15952948335</v>
      </c>
      <c r="W17" s="31">
        <f t="shared" si="2"/>
        <v>238794.19032713069</v>
      </c>
    </row>
    <row r="18" spans="1:25" x14ac:dyDescent="0.25">
      <c r="A18" s="28">
        <v>4</v>
      </c>
      <c r="B18" s="28" t="s">
        <v>11</v>
      </c>
      <c r="C18" s="31">
        <f>0.23437*D26+0.68946*D27+0.06391*D28+0.01071*D29+0.00142*D30+0.00013*D31+0*D32+2*D33</f>
        <v>69781.396919999985</v>
      </c>
      <c r="D18" s="31">
        <f t="shared" ref="D18:W18" si="3">D$10*$C$18</f>
        <v>156467.72104155301</v>
      </c>
      <c r="E18" s="31">
        <f t="shared" si="3"/>
        <v>157250.05964676075</v>
      </c>
      <c r="F18" s="31">
        <f t="shared" si="3"/>
        <v>158036.30994499449</v>
      </c>
      <c r="G18" s="31">
        <f t="shared" si="3"/>
        <v>158826.49149471943</v>
      </c>
      <c r="H18" s="31">
        <f t="shared" si="3"/>
        <v>159620.62395219301</v>
      </c>
      <c r="I18" s="31">
        <f t="shared" si="3"/>
        <v>160418.72707195397</v>
      </c>
      <c r="J18" s="31">
        <f t="shared" si="3"/>
        <v>161220.82070731375</v>
      </c>
      <c r="K18" s="31">
        <f t="shared" si="3"/>
        <v>162026.92481085029</v>
      </c>
      <c r="L18" s="31">
        <f t="shared" si="3"/>
        <v>162837.05943490448</v>
      </c>
      <c r="M18" s="31">
        <f t="shared" si="3"/>
        <v>163651.24473207904</v>
      </c>
      <c r="N18" s="31">
        <f t="shared" si="3"/>
        <v>164469.50095573935</v>
      </c>
      <c r="O18" s="31">
        <f t="shared" si="3"/>
        <v>165291.84846051803</v>
      </c>
      <c r="P18" s="31">
        <f t="shared" si="3"/>
        <v>166118.3077028206</v>
      </c>
      <c r="Q18" s="31">
        <f t="shared" si="3"/>
        <v>166948.89924133467</v>
      </c>
      <c r="R18" s="31">
        <f t="shared" si="3"/>
        <v>167783.64373754131</v>
      </c>
      <c r="S18" s="31">
        <f t="shared" si="3"/>
        <v>168622.56195622901</v>
      </c>
      <c r="T18" s="31">
        <f t="shared" si="3"/>
        <v>169465.67476601011</v>
      </c>
      <c r="U18" s="31">
        <f t="shared" si="3"/>
        <v>170313.00313984012</v>
      </c>
      <c r="V18" s="31">
        <f t="shared" si="3"/>
        <v>171164.56815553934</v>
      </c>
      <c r="W18" s="31">
        <f t="shared" si="3"/>
        <v>172020.39099631697</v>
      </c>
    </row>
    <row r="19" spans="1:25" ht="45" x14ac:dyDescent="0.25">
      <c r="A19" s="28">
        <v>5</v>
      </c>
      <c r="B19" s="28" t="s">
        <v>55</v>
      </c>
      <c r="C19" s="31">
        <f>0.92534*D26+0.07257*D27+0.00198*D28+0.00008*D29+0*D30+0.00003*D31+0*D32+2*D33</f>
        <v>11063.572319999999</v>
      </c>
      <c r="D19" s="31">
        <f t="shared" ref="D19:W19" si="4">D$11*$C$19</f>
        <v>57883.830396391415</v>
      </c>
      <c r="E19" s="31">
        <f t="shared" si="4"/>
        <v>58173.249548373373</v>
      </c>
      <c r="F19" s="31">
        <f t="shared" si="4"/>
        <v>58464.115796115213</v>
      </c>
      <c r="G19" s="31">
        <f t="shared" si="4"/>
        <v>58756.436375095785</v>
      </c>
      <c r="H19" s="31">
        <f t="shared" si="4"/>
        <v>59050.21855697126</v>
      </c>
      <c r="I19" s="31">
        <f t="shared" si="4"/>
        <v>59345.469649756109</v>
      </c>
      <c r="J19" s="31">
        <f t="shared" si="4"/>
        <v>59642.196998004882</v>
      </c>
      <c r="K19" s="31">
        <f t="shared" si="4"/>
        <v>59940.407982994904</v>
      </c>
      <c r="L19" s="31">
        <f t="shared" si="4"/>
        <v>60240.110022909867</v>
      </c>
      <c r="M19" s="31">
        <f t="shared" si="4"/>
        <v>60541.310573024406</v>
      </c>
      <c r="N19" s="31">
        <f t="shared" si="4"/>
        <v>60844.017125889513</v>
      </c>
      <c r="O19" s="31">
        <f t="shared" si="4"/>
        <v>61148.237211518957</v>
      </c>
      <c r="P19" s="31">
        <f t="shared" si="4"/>
        <v>61453.978397576531</v>
      </c>
      <c r="Q19" s="31">
        <f t="shared" si="4"/>
        <v>61761.248289564399</v>
      </c>
      <c r="R19" s="31">
        <f t="shared" si="4"/>
        <v>62070.054531012218</v>
      </c>
      <c r="S19" s="31">
        <f t="shared" si="4"/>
        <v>62380.404803667276</v>
      </c>
      <c r="T19" s="31">
        <f t="shared" si="4"/>
        <v>62692.306827685599</v>
      </c>
      <c r="U19" s="31">
        <f t="shared" si="4"/>
        <v>63005.768361824019</v>
      </c>
      <c r="V19" s="31">
        <f t="shared" si="4"/>
        <v>63320.797203633134</v>
      </c>
      <c r="W19" s="31">
        <f t="shared" si="4"/>
        <v>63637.401189651282</v>
      </c>
      <c r="X19" s="26" t="s">
        <v>61</v>
      </c>
    </row>
    <row r="20" spans="1:25" ht="30" x14ac:dyDescent="0.25">
      <c r="C20" s="27" t="s">
        <v>60</v>
      </c>
      <c r="D20" s="31">
        <f>SUM(D15:D19)</f>
        <v>516300.20083557972</v>
      </c>
      <c r="E20" s="31">
        <f t="shared" ref="E20:W20" si="5">SUM(E15:E19)</f>
        <v>518881.70183975762</v>
      </c>
      <c r="F20" s="31">
        <f t="shared" si="5"/>
        <v>521476.11034895614</v>
      </c>
      <c r="G20" s="31">
        <f t="shared" si="5"/>
        <v>524083.49090070085</v>
      </c>
      <c r="H20" s="31">
        <f t="shared" si="5"/>
        <v>526703.90835520427</v>
      </c>
      <c r="I20" s="31">
        <f t="shared" si="5"/>
        <v>529337.4278969802</v>
      </c>
      <c r="J20" s="31">
        <f t="shared" si="5"/>
        <v>531984.11503646523</v>
      </c>
      <c r="K20" s="31">
        <f t="shared" si="5"/>
        <v>534644.03561164741</v>
      </c>
      <c r="L20" s="31">
        <f t="shared" si="5"/>
        <v>537317.25578970555</v>
      </c>
      <c r="M20" s="31">
        <f t="shared" si="5"/>
        <v>540003.84206865402</v>
      </c>
      <c r="N20" s="31">
        <f t="shared" si="5"/>
        <v>542703.86127899715</v>
      </c>
      <c r="O20" s="31">
        <f t="shared" si="5"/>
        <v>545417.38058539201</v>
      </c>
      <c r="P20" s="31">
        <f t="shared" si="5"/>
        <v>548144.46748831891</v>
      </c>
      <c r="Q20" s="31">
        <f t="shared" si="5"/>
        <v>550885.18982576043</v>
      </c>
      <c r="R20" s="31">
        <f t="shared" si="5"/>
        <v>553639.61577488913</v>
      </c>
      <c r="S20" s="31">
        <f t="shared" si="5"/>
        <v>556407.81385376351</v>
      </c>
      <c r="T20" s="31">
        <f t="shared" si="5"/>
        <v>559189.85292303225</v>
      </c>
      <c r="U20" s="31">
        <f t="shared" si="5"/>
        <v>561985.80218764732</v>
      </c>
      <c r="V20" s="31">
        <f t="shared" si="5"/>
        <v>564795.73119858548</v>
      </c>
      <c r="W20" s="31">
        <f t="shared" si="5"/>
        <v>567619.70985457825</v>
      </c>
      <c r="X20" s="31">
        <f>SUM(D20:W20)</f>
        <v>10831521.513654616</v>
      </c>
      <c r="Y20" s="26" t="s">
        <v>60</v>
      </c>
    </row>
    <row r="21" spans="1:25" ht="30" x14ac:dyDescent="0.25">
      <c r="C21" s="27" t="s">
        <v>77</v>
      </c>
      <c r="D21" s="31">
        <f>D20/(1.07)^2</f>
        <v>450956.5908250325</v>
      </c>
      <c r="E21" s="31">
        <f>E20/(1.07)^3</f>
        <v>423562.03156930621</v>
      </c>
      <c r="F21" s="31">
        <f>F20/(1.07)^4</f>
        <v>397831.62778238556</v>
      </c>
      <c r="G21" s="31">
        <f>G20/(1.07)^5</f>
        <v>373664.28590775456</v>
      </c>
      <c r="H21" s="31">
        <f>H20/(1.07)^6</f>
        <v>350965.05358625541</v>
      </c>
      <c r="I21" s="31">
        <f>I20/(1.07)^7</f>
        <v>329644.7465926978</v>
      </c>
      <c r="J21" s="31">
        <f>J20/(1.07)^8</f>
        <v>309619.59843519755</v>
      </c>
      <c r="K21" s="31">
        <f>K20/(1.07)^9</f>
        <v>290810.93124053587</v>
      </c>
      <c r="L21" s="31">
        <f>L20/(1.07)^10</f>
        <v>273144.84663246589</v>
      </c>
      <c r="M21" s="31">
        <f>M20/(1.07)^11</f>
        <v>256551.93538843756</v>
      </c>
      <c r="N21" s="31">
        <f>N20/(1.07)^12</f>
        <v>240967.00473399973</v>
      </c>
      <c r="O21" s="31">
        <f>O20/(1.07)^13</f>
        <v>226328.82220342959</v>
      </c>
      <c r="P21" s="31">
        <f>P20/(1.07)^14</f>
        <v>212579.87506023058</v>
      </c>
      <c r="Q21" s="31">
        <f>Q20/(1.07)^15</f>
        <v>199666.14433227261</v>
      </c>
      <c r="R21" s="31">
        <f>R20/(1.07)^16</f>
        <v>187536.89257377005</v>
      </c>
      <c r="S21" s="31">
        <f>S20/(1.07)^17</f>
        <v>176144.46452022326</v>
      </c>
      <c r="T21" s="31">
        <f>T20/(1.07)^18</f>
        <v>165444.09985310686</v>
      </c>
      <c r="U21" s="31">
        <f>U20/(1.07)^19</f>
        <v>155393.75733866575</v>
      </c>
      <c r="V21" s="31">
        <f>V20/(1.07)^20</f>
        <v>145953.9496498683</v>
      </c>
      <c r="W21" s="31">
        <f>W20/(1.07)^21</f>
        <v>137087.58822253981</v>
      </c>
      <c r="X21" s="31">
        <f>SUM(D21:W21)</f>
        <v>5303854.2464481751</v>
      </c>
      <c r="Y21" s="27" t="s">
        <v>77</v>
      </c>
    </row>
    <row r="22" spans="1:25" ht="30" x14ac:dyDescent="0.25">
      <c r="C22" s="27" t="s">
        <v>78</v>
      </c>
      <c r="D22" s="31">
        <f>D20/(1.03)^2</f>
        <v>486662.45719255327</v>
      </c>
      <c r="E22" s="31">
        <f>E20/(1.03)^3</f>
        <v>474850.2616296272</v>
      </c>
      <c r="F22" s="31">
        <f>F20/(1.03)^4</f>
        <v>463324.7698425001</v>
      </c>
      <c r="G22" s="31">
        <f>G20/(1.03)^5</f>
        <v>452079.02300166269</v>
      </c>
      <c r="H22" s="31">
        <f>H20/(1.03)^6</f>
        <v>441106.23118123389</v>
      </c>
      <c r="I22" s="31">
        <f>I20/(1.03)^7</f>
        <v>430399.76925935916</v>
      </c>
      <c r="J22" s="31">
        <f>J20/(1.03)^8</f>
        <v>419953.17291811272</v>
      </c>
      <c r="K22" s="31">
        <f>K20/(1.03)^9</f>
        <v>409760.13474048855</v>
      </c>
      <c r="L22" s="31">
        <f>L20/(1.03)^10</f>
        <v>399814.5004021271</v>
      </c>
      <c r="M22" s="31">
        <f>M20/(1.03)^11</f>
        <v>390110.26495547348</v>
      </c>
      <c r="N22" s="31">
        <f>N20/(1.03)^12</f>
        <v>380641.56920412695</v>
      </c>
      <c r="O22" s="31">
        <f>O20/(1.03)^13</f>
        <v>371402.69616519177</v>
      </c>
      <c r="P22" s="31">
        <f>P20/(1.03)^14</f>
        <v>362388.06761749287</v>
      </c>
      <c r="Q22" s="31">
        <f>Q20/(1.03)^15</f>
        <v>353592.2407335731</v>
      </c>
      <c r="R22" s="31">
        <f>R20/(1.03)^16</f>
        <v>345009.9047934378</v>
      </c>
      <c r="S22" s="31">
        <f>S20/(1.03)^17</f>
        <v>336635.87797806307</v>
      </c>
      <c r="T22" s="31">
        <f>T20/(1.03)^18</f>
        <v>328465.10424073139</v>
      </c>
      <c r="U22" s="31">
        <f>U20/(1.03)^19</f>
        <v>320492.6502543058</v>
      </c>
      <c r="V22" s="31">
        <f>V20/(1.03)^20</f>
        <v>312713.70243259933</v>
      </c>
      <c r="W22" s="31">
        <f>W20/(1.03)^21</f>
        <v>305123.56402404106</v>
      </c>
      <c r="X22" s="31">
        <f>SUM(D22:W22)</f>
        <v>7784525.9625667017</v>
      </c>
      <c r="Y22" s="26" t="s">
        <v>78</v>
      </c>
    </row>
    <row r="23" spans="1:25" x14ac:dyDescent="0.25">
      <c r="C23" s="34"/>
      <c r="D23" s="34"/>
      <c r="E23" s="34"/>
      <c r="F23" s="34"/>
      <c r="G23" s="34"/>
      <c r="H23" s="34"/>
      <c r="I23" s="34"/>
      <c r="J23" s="34"/>
      <c r="K23" s="34"/>
      <c r="L23" s="34"/>
      <c r="M23" s="34"/>
      <c r="N23" s="34"/>
      <c r="O23" s="34"/>
      <c r="P23" s="34"/>
      <c r="Q23" s="34"/>
      <c r="R23" s="34"/>
      <c r="S23" s="34"/>
      <c r="T23" s="34"/>
      <c r="U23" s="34"/>
      <c r="V23" s="34"/>
      <c r="W23" s="34"/>
      <c r="X23" s="22"/>
      <c r="Y23" s="21"/>
    </row>
    <row r="24" spans="1:25"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row>
    <row r="25" spans="1:25" ht="30" x14ac:dyDescent="0.25">
      <c r="A25" s="26" t="s">
        <v>0</v>
      </c>
      <c r="B25" s="26" t="s">
        <v>1</v>
      </c>
      <c r="C25" s="26" t="s">
        <v>8</v>
      </c>
      <c r="D25" s="26" t="s">
        <v>52</v>
      </c>
    </row>
    <row r="26" spans="1:25" x14ac:dyDescent="0.25">
      <c r="A26" s="29">
        <v>0</v>
      </c>
      <c r="B26" s="29" t="s">
        <v>10</v>
      </c>
      <c r="C26" s="30">
        <v>0</v>
      </c>
      <c r="D26" s="31">
        <f>C26*1.01</f>
        <v>0</v>
      </c>
    </row>
    <row r="27" spans="1:25" x14ac:dyDescent="0.25">
      <c r="A27" s="28">
        <v>1</v>
      </c>
      <c r="B27" s="28" t="s">
        <v>2</v>
      </c>
      <c r="C27" s="31">
        <v>27600</v>
      </c>
      <c r="D27" s="31">
        <f t="shared" ref="D27:D33" si="6">C27*1.01</f>
        <v>27876</v>
      </c>
    </row>
    <row r="28" spans="1:25" x14ac:dyDescent="0.25">
      <c r="A28" s="28">
        <v>2</v>
      </c>
      <c r="B28" s="28" t="s">
        <v>3</v>
      </c>
      <c r="C28" s="31">
        <v>432400</v>
      </c>
      <c r="D28" s="31">
        <f t="shared" si="6"/>
        <v>436724</v>
      </c>
    </row>
    <row r="29" spans="1:25" x14ac:dyDescent="0.25">
      <c r="A29" s="28">
        <v>3</v>
      </c>
      <c r="B29" s="28" t="s">
        <v>4</v>
      </c>
      <c r="C29" s="31">
        <v>966000</v>
      </c>
      <c r="D29" s="31">
        <f t="shared" si="6"/>
        <v>975660</v>
      </c>
    </row>
    <row r="30" spans="1:25" x14ac:dyDescent="0.25">
      <c r="A30" s="28">
        <v>4</v>
      </c>
      <c r="B30" s="28" t="s">
        <v>5</v>
      </c>
      <c r="C30" s="31">
        <v>2477200</v>
      </c>
      <c r="D30" s="31">
        <f t="shared" si="6"/>
        <v>2501972</v>
      </c>
    </row>
    <row r="31" spans="1:25" x14ac:dyDescent="0.25">
      <c r="A31" s="28">
        <v>5</v>
      </c>
      <c r="B31" s="28" t="s">
        <v>6</v>
      </c>
      <c r="C31" s="31">
        <v>5455600</v>
      </c>
      <c r="D31" s="31">
        <f t="shared" si="6"/>
        <v>5510156</v>
      </c>
    </row>
    <row r="32" spans="1:25" x14ac:dyDescent="0.25">
      <c r="A32" s="28">
        <v>6</v>
      </c>
      <c r="B32" s="28" t="s">
        <v>7</v>
      </c>
      <c r="C32" s="31">
        <v>9200000</v>
      </c>
      <c r="D32" s="31">
        <f t="shared" si="6"/>
        <v>9292000</v>
      </c>
    </row>
    <row r="33" spans="1:4" ht="30" x14ac:dyDescent="0.25">
      <c r="A33" s="28" t="s">
        <v>56</v>
      </c>
      <c r="B33" s="28" t="s">
        <v>54</v>
      </c>
      <c r="C33" s="31">
        <v>3927</v>
      </c>
      <c r="D33" s="31">
        <f t="shared" si="6"/>
        <v>3966.27</v>
      </c>
    </row>
    <row r="34" spans="1:4" x14ac:dyDescent="0.25">
      <c r="A34" s="23"/>
      <c r="B34" s="23"/>
      <c r="C34" s="34"/>
      <c r="D34" s="34"/>
    </row>
    <row r="35" spans="1:4" x14ac:dyDescent="0.25">
      <c r="A35" s="23"/>
      <c r="B35" s="23"/>
      <c r="C35" s="34"/>
      <c r="D35" s="34"/>
    </row>
    <row r="36" spans="1:4" x14ac:dyDescent="0.25">
      <c r="A36" s="66" t="s">
        <v>64</v>
      </c>
      <c r="B36" s="66"/>
      <c r="C36" s="24"/>
    </row>
    <row r="37" spans="1:4" x14ac:dyDescent="0.25">
      <c r="A37" s="67" t="s">
        <v>14</v>
      </c>
      <c r="B37" s="68">
        <v>5.0000000000000001E-3</v>
      </c>
      <c r="C37" s="24"/>
    </row>
    <row r="38" spans="1:4" x14ac:dyDescent="0.25">
      <c r="A38" s="67"/>
      <c r="B38" s="68"/>
      <c r="C38" s="24"/>
    </row>
    <row r="39" spans="1:4" x14ac:dyDescent="0.25">
      <c r="A39" s="33" t="s">
        <v>16</v>
      </c>
    </row>
    <row r="40" spans="1:4" x14ac:dyDescent="0.25">
      <c r="A40" s="33" t="s">
        <v>76</v>
      </c>
    </row>
    <row r="41" spans="1:4" x14ac:dyDescent="0.25">
      <c r="A41" s="33" t="s">
        <v>75</v>
      </c>
    </row>
  </sheetData>
  <mergeCells count="7">
    <mergeCell ref="A37:A38"/>
    <mergeCell ref="B37:B38"/>
    <mergeCell ref="A1:B1"/>
    <mergeCell ref="A5:W5"/>
    <mergeCell ref="A13:W13"/>
    <mergeCell ref="A24:D24"/>
    <mergeCell ref="A36:B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9" workbookViewId="0">
      <selection activeCell="C20" sqref="C20:Y20"/>
    </sheetView>
  </sheetViews>
  <sheetFormatPr defaultColWidth="8.85546875" defaultRowHeight="15" x14ac:dyDescent="0.25"/>
  <cols>
    <col min="1" max="25" width="15.7109375" style="20" customWidth="1"/>
    <col min="26" max="16384" width="8.85546875" style="20"/>
  </cols>
  <sheetData>
    <row r="1" spans="1:23" x14ac:dyDescent="0.25">
      <c r="A1" s="66" t="s">
        <v>71</v>
      </c>
      <c r="B1" s="66"/>
    </row>
    <row r="2" spans="1:23" ht="30" x14ac:dyDescent="0.25">
      <c r="A2" s="26" t="s">
        <v>58</v>
      </c>
      <c r="B2" s="25" t="s">
        <v>68</v>
      </c>
    </row>
    <row r="3" spans="1:23" ht="45" x14ac:dyDescent="0.25">
      <c r="A3" s="26" t="s">
        <v>59</v>
      </c>
      <c r="B3" s="25">
        <v>0.22</v>
      </c>
    </row>
    <row r="5" spans="1:23" ht="14.45" customHeight="1" x14ac:dyDescent="0.25">
      <c r="A5" s="66" t="s">
        <v>62</v>
      </c>
      <c r="B5" s="66"/>
      <c r="C5" s="66"/>
      <c r="D5" s="66"/>
      <c r="E5" s="66"/>
      <c r="F5" s="66"/>
      <c r="G5" s="66"/>
      <c r="H5" s="66"/>
      <c r="I5" s="66"/>
      <c r="J5" s="66"/>
      <c r="K5" s="66"/>
      <c r="L5" s="66"/>
      <c r="M5" s="66"/>
      <c r="N5" s="66"/>
      <c r="O5" s="66"/>
      <c r="P5" s="66"/>
      <c r="Q5" s="66"/>
      <c r="R5" s="66"/>
      <c r="S5" s="66"/>
      <c r="T5" s="66"/>
      <c r="U5" s="66"/>
      <c r="V5" s="66"/>
      <c r="W5" s="66"/>
    </row>
    <row r="6" spans="1:23" ht="30" x14ac:dyDescent="0.25">
      <c r="A6" s="26" t="s">
        <v>9</v>
      </c>
      <c r="B6" s="26" t="s">
        <v>1</v>
      </c>
      <c r="C6" s="27" t="s">
        <v>51</v>
      </c>
      <c r="D6" s="26">
        <v>2017</v>
      </c>
      <c r="E6" s="26">
        <v>2018</v>
      </c>
      <c r="F6" s="26">
        <v>2019</v>
      </c>
      <c r="G6" s="26">
        <v>2020</v>
      </c>
      <c r="H6" s="26">
        <v>2021</v>
      </c>
      <c r="I6" s="26">
        <v>2022</v>
      </c>
      <c r="J6" s="26">
        <v>2023</v>
      </c>
      <c r="K6" s="26">
        <v>2024</v>
      </c>
      <c r="L6" s="26">
        <v>2025</v>
      </c>
      <c r="M6" s="26">
        <v>2026</v>
      </c>
      <c r="N6" s="26">
        <v>2027</v>
      </c>
      <c r="O6" s="26">
        <v>2028</v>
      </c>
      <c r="P6" s="26">
        <v>2029</v>
      </c>
      <c r="Q6" s="26">
        <v>2030</v>
      </c>
      <c r="R6" s="26">
        <v>2031</v>
      </c>
      <c r="S6" s="26">
        <v>2032</v>
      </c>
      <c r="T6" s="26">
        <v>2033</v>
      </c>
      <c r="U6" s="26">
        <v>2034</v>
      </c>
      <c r="V6" s="26">
        <v>2035</v>
      </c>
      <c r="W6" s="26">
        <v>2036</v>
      </c>
    </row>
    <row r="7" spans="1:23" x14ac:dyDescent="0.25">
      <c r="A7" s="28">
        <v>1</v>
      </c>
      <c r="B7" s="28" t="s">
        <v>13</v>
      </c>
      <c r="C7" s="25">
        <v>0</v>
      </c>
      <c r="D7" s="35">
        <f>$C7*(1+$B$37)^2*$B$3</f>
        <v>0</v>
      </c>
      <c r="E7" s="35">
        <f>$C7*(1+$B$37)^3*$B$3</f>
        <v>0</v>
      </c>
      <c r="F7" s="35">
        <f>$C7*(1+$B$37)^4*$B$3</f>
        <v>0</v>
      </c>
      <c r="G7" s="35">
        <f>$C7*(1+$B$37)^5*$B$3</f>
        <v>0</v>
      </c>
      <c r="H7" s="35">
        <f>$C7*(1+$B$37)^6*$B$3</f>
        <v>0</v>
      </c>
      <c r="I7" s="35">
        <f>$C7*(1+$B$37)^7*$B$3</f>
        <v>0</v>
      </c>
      <c r="J7" s="35">
        <f>$C7*(1+$B$37)^8*$B$3</f>
        <v>0</v>
      </c>
      <c r="K7" s="35">
        <f>$C7*(1+$B$37)^9*$B$3</f>
        <v>0</v>
      </c>
      <c r="L7" s="35">
        <f>$C7*(1+$B$37)^10*$B$3</f>
        <v>0</v>
      </c>
      <c r="M7" s="35">
        <f>$C7*(1+$B$37)^11*$B$3</f>
        <v>0</v>
      </c>
      <c r="N7" s="35">
        <f>$C7*(1+$B$37)^12*$B$3</f>
        <v>0</v>
      </c>
      <c r="O7" s="35">
        <f>$C7*(1+$B$37)^13*$B$3</f>
        <v>0</v>
      </c>
      <c r="P7" s="35">
        <f>$C7*(1+$B$37)^14*$B$3</f>
        <v>0</v>
      </c>
      <c r="Q7" s="35">
        <f>$C7*(1+$B$37)^15*$B$3</f>
        <v>0</v>
      </c>
      <c r="R7" s="35">
        <f>$C7*(1+$B$37)^16*$B$3</f>
        <v>0</v>
      </c>
      <c r="S7" s="35">
        <f>$C7*(1+$B$37)^17*$B$3</f>
        <v>0</v>
      </c>
      <c r="T7" s="35">
        <f>$C7*(1+$B$37)^18*$B$3</f>
        <v>0</v>
      </c>
      <c r="U7" s="35">
        <f>$C7*(1+$B$37)^19*$B$3</f>
        <v>0</v>
      </c>
      <c r="V7" s="35">
        <f>$C7*(1+$B$37)^20*$B$3</f>
        <v>0</v>
      </c>
      <c r="W7" s="35">
        <f>$C7*(1+$B$37)^21*$B$3</f>
        <v>0</v>
      </c>
    </row>
    <row r="8" spans="1:23" x14ac:dyDescent="0.25">
      <c r="A8" s="28">
        <v>2</v>
      </c>
      <c r="B8" s="28" t="s">
        <v>12</v>
      </c>
      <c r="C8" s="25">
        <v>0.185</v>
      </c>
      <c r="D8" s="35">
        <f>$C8*(1+$B$37)^2*$B$3</f>
        <v>4.1108017499999989E-2</v>
      </c>
      <c r="E8" s="35">
        <f>$C8*(1+$B$37)^3*$B$3</f>
        <v>4.1313557587499987E-2</v>
      </c>
      <c r="F8" s="35">
        <f>$C8*(1+$B$37)^4*$B$3</f>
        <v>4.1520125375437471E-2</v>
      </c>
      <c r="G8" s="35">
        <f>$C8*(1+$B$37)^5*$B$3</f>
        <v>4.1727726002314655E-2</v>
      </c>
      <c r="H8" s="35">
        <f>$C8*(1+$B$37)^6*$B$3</f>
        <v>4.1936364632326216E-2</v>
      </c>
      <c r="I8" s="35">
        <f>$C8*(1+$B$37)^7*$B$3</f>
        <v>4.2146046455487848E-2</v>
      </c>
      <c r="J8" s="35">
        <f>$C8*(1+$B$37)^8*$B$3</f>
        <v>4.2356776687765281E-2</v>
      </c>
      <c r="K8" s="35">
        <f>$C8*(1+$B$37)^9*$B$3</f>
        <v>4.256856057120411E-2</v>
      </c>
      <c r="L8" s="35">
        <f>$C8*(1+$B$37)^10*$B$3</f>
        <v>4.2781403374060119E-2</v>
      </c>
      <c r="M8" s="35">
        <f>$C8*(1+$B$37)^11*$B$3</f>
        <v>4.2995310390930415E-2</v>
      </c>
      <c r="N8" s="35">
        <f>$C8*(1+$B$37)^12*$B$3</f>
        <v>4.3210286942885055E-2</v>
      </c>
      <c r="O8" s="35">
        <f>$C8*(1+$B$37)^13*$B$3</f>
        <v>4.3426338377599474E-2</v>
      </c>
      <c r="P8" s="35">
        <f>$C8*(1+$B$37)^14*$B$3</f>
        <v>4.3643470069487461E-2</v>
      </c>
      <c r="Q8" s="35">
        <f>$C8*(1+$B$37)^15*$B$3</f>
        <v>4.3861687419834886E-2</v>
      </c>
      <c r="R8" s="35">
        <f>$C8*(1+$B$37)^16*$B$3</f>
        <v>4.4080995856934063E-2</v>
      </c>
      <c r="S8" s="35">
        <f>$C8*(1+$B$37)^17*$B$3</f>
        <v>4.4301400836218731E-2</v>
      </c>
      <c r="T8" s="35">
        <f>$C8*(1+$B$37)^18*$B$3</f>
        <v>4.4522907840399806E-2</v>
      </c>
      <c r="U8" s="35">
        <f>$C8*(1+$B$37)^19*$B$3</f>
        <v>4.4745522379601804E-2</v>
      </c>
      <c r="V8" s="35">
        <f>$C8*(1+$B$37)^20*$B$3</f>
        <v>4.4969249991499809E-2</v>
      </c>
      <c r="W8" s="35">
        <f>$C8*(1+$B$37)^21*$B$3</f>
        <v>4.5194096241457295E-2</v>
      </c>
    </row>
    <row r="9" spans="1:23" ht="30" x14ac:dyDescent="0.25">
      <c r="A9" s="28">
        <v>3</v>
      </c>
      <c r="B9" s="28" t="s">
        <v>53</v>
      </c>
      <c r="C9" s="25">
        <v>1.665</v>
      </c>
      <c r="D9" s="35">
        <f>$C9*(1+$B$37)^2*$B$3</f>
        <v>0.3699721574999999</v>
      </c>
      <c r="E9" s="35">
        <f>$C9*(1+$B$37)^3*$B$3</f>
        <v>0.37182201828749989</v>
      </c>
      <c r="F9" s="35">
        <f>$C9*(1+$B$37)^4*$B$3</f>
        <v>0.3736811283789373</v>
      </c>
      <c r="G9" s="35">
        <f>$C9*(1+$B$37)^5*$B$3</f>
        <v>0.37554953402083191</v>
      </c>
      <c r="H9" s="35">
        <f>$C9*(1+$B$37)^6*$B$3</f>
        <v>0.37742728169093598</v>
      </c>
      <c r="I9" s="35">
        <f>$C9*(1+$B$37)^7*$B$3</f>
        <v>0.37931441809939065</v>
      </c>
      <c r="J9" s="35">
        <f>$C9*(1+$B$37)^8*$B$3</f>
        <v>0.38121099018988752</v>
      </c>
      <c r="K9" s="35">
        <f>$C9*(1+$B$37)^9*$B$3</f>
        <v>0.38311704514083694</v>
      </c>
      <c r="L9" s="35">
        <f>$C9*(1+$B$37)^10*$B$3</f>
        <v>0.38503263036654106</v>
      </c>
      <c r="M9" s="35">
        <f>$C9*(1+$B$37)^11*$B$3</f>
        <v>0.38695779351837373</v>
      </c>
      <c r="N9" s="35">
        <f>$C9*(1+$B$37)^12*$B$3</f>
        <v>0.38889258248596548</v>
      </c>
      <c r="O9" s="35">
        <f>$C9*(1+$B$37)^13*$B$3</f>
        <v>0.39083704539839531</v>
      </c>
      <c r="P9" s="35">
        <f>$C9*(1+$B$37)^14*$B$3</f>
        <v>0.39279123062538718</v>
      </c>
      <c r="Q9" s="35">
        <f>$C9*(1+$B$37)^15*$B$3</f>
        <v>0.39475518677851407</v>
      </c>
      <c r="R9" s="35">
        <f>$C9*(1+$B$37)^16*$B$3</f>
        <v>0.39672896271240654</v>
      </c>
      <c r="S9" s="35">
        <f>$C9*(1+$B$37)^17*$B$3</f>
        <v>0.3987126075259686</v>
      </c>
      <c r="T9" s="35">
        <f>$C9*(1+$B$37)^18*$B$3</f>
        <v>0.40070617056359831</v>
      </c>
      <c r="U9" s="35">
        <f>$C9*(1+$B$37)^19*$B$3</f>
        <v>0.40270970141641627</v>
      </c>
      <c r="V9" s="35">
        <f>$C9*(1+$B$37)^20*$B$3</f>
        <v>0.40472324992349828</v>
      </c>
      <c r="W9" s="35">
        <f>$C9*(1+$B$37)^21*$B$3</f>
        <v>0.40674686617311567</v>
      </c>
    </row>
    <row r="10" spans="1:23" x14ac:dyDescent="0.25">
      <c r="A10" s="28">
        <v>4</v>
      </c>
      <c r="B10" s="28" t="s">
        <v>11</v>
      </c>
      <c r="C10" s="25">
        <v>2.2200000000000002</v>
      </c>
      <c r="D10" s="35">
        <f>$C10*(1+$B$37)^2*$B$3</f>
        <v>0.49329620999999996</v>
      </c>
      <c r="E10" s="35">
        <f>$C10*(1+$B$37)^3*$B$3</f>
        <v>0.49576269104999987</v>
      </c>
      <c r="F10" s="35">
        <f>$C10*(1+$B$37)^4*$B$3</f>
        <v>0.49824150450524968</v>
      </c>
      <c r="G10" s="35">
        <f>$C10*(1+$B$37)^5*$B$3</f>
        <v>0.50073271202777581</v>
      </c>
      <c r="H10" s="35">
        <f>$C10*(1+$B$37)^6*$B$3</f>
        <v>0.50323637558791467</v>
      </c>
      <c r="I10" s="35">
        <f>$C10*(1+$B$37)^7*$B$3</f>
        <v>0.50575255746585412</v>
      </c>
      <c r="J10" s="35">
        <f>$C10*(1+$B$37)^8*$B$3</f>
        <v>0.5082813202531834</v>
      </c>
      <c r="K10" s="35">
        <f>$C10*(1+$B$37)^9*$B$3</f>
        <v>0.51082272685444929</v>
      </c>
      <c r="L10" s="35">
        <f>$C10*(1+$B$37)^10*$B$3</f>
        <v>0.51337684048872145</v>
      </c>
      <c r="M10" s="35">
        <f>$C10*(1+$B$37)^11*$B$3</f>
        <v>0.51594372469116512</v>
      </c>
      <c r="N10" s="35">
        <f>$C10*(1+$B$37)^12*$B$3</f>
        <v>0.51852344331462075</v>
      </c>
      <c r="O10" s="35">
        <f>$C10*(1+$B$37)^13*$B$3</f>
        <v>0.52111606053119375</v>
      </c>
      <c r="P10" s="35">
        <f>$C10*(1+$B$37)^14*$B$3</f>
        <v>0.52372164083384953</v>
      </c>
      <c r="Q10" s="35">
        <f>$C10*(1+$B$37)^15*$B$3</f>
        <v>0.52634024903801868</v>
      </c>
      <c r="R10" s="35">
        <f>$C10*(1+$B$37)^16*$B$3</f>
        <v>0.52897195028320876</v>
      </c>
      <c r="S10" s="35">
        <f>$C10*(1+$B$37)^17*$B$3</f>
        <v>0.5316168100346248</v>
      </c>
      <c r="T10" s="35">
        <f>$C10*(1+$B$37)^18*$B$3</f>
        <v>0.53427489408479778</v>
      </c>
      <c r="U10" s="35">
        <f>$C10*(1+$B$37)^19*$B$3</f>
        <v>0.53694626855522165</v>
      </c>
      <c r="V10" s="35">
        <f>$C10*(1+$B$37)^20*$B$3</f>
        <v>0.53963099989799779</v>
      </c>
      <c r="W10" s="35">
        <f>$C10*(1+$B$37)^21*$B$3</f>
        <v>0.54232915489748756</v>
      </c>
    </row>
    <row r="11" spans="1:23" ht="45" x14ac:dyDescent="0.25">
      <c r="A11" s="28">
        <v>5</v>
      </c>
      <c r="B11" s="28" t="s">
        <v>55</v>
      </c>
      <c r="C11" s="25">
        <v>0</v>
      </c>
      <c r="D11" s="35">
        <f>$C11*(1+$B$37)^2*$B$3</f>
        <v>0</v>
      </c>
      <c r="E11" s="35">
        <f>$C11*(1+$B$37)^3*$B$3</f>
        <v>0</v>
      </c>
      <c r="F11" s="35">
        <f>$C11*(1+$B$37)^4*$B$3</f>
        <v>0</v>
      </c>
      <c r="G11" s="35">
        <f>$C11*(1+$B$37)^5*$B$3</f>
        <v>0</v>
      </c>
      <c r="H11" s="35">
        <f>$C11*(1+$B$37)^6*$B$3</f>
        <v>0</v>
      </c>
      <c r="I11" s="35">
        <f>$C11*(1+$B$37)^7*$B$3</f>
        <v>0</v>
      </c>
      <c r="J11" s="35">
        <f>$C11*(1+$B$37)^8*$B$3</f>
        <v>0</v>
      </c>
      <c r="K11" s="35">
        <f>$C11*(1+$B$37)^9*$B$3</f>
        <v>0</v>
      </c>
      <c r="L11" s="35">
        <f>$C11*(1+$B$37)^10*$B$3</f>
        <v>0</v>
      </c>
      <c r="M11" s="35">
        <f>$C11*(1+$B$37)^11*$B$3</f>
        <v>0</v>
      </c>
      <c r="N11" s="35">
        <f>$C11*(1+$B$37)^12*$B$3</f>
        <v>0</v>
      </c>
      <c r="O11" s="35">
        <f>$C11*(1+$B$37)^13*$B$3</f>
        <v>0</v>
      </c>
      <c r="P11" s="35">
        <f>$C11*(1+$B$37)^14*$B$3</f>
        <v>0</v>
      </c>
      <c r="Q11" s="35">
        <f>$C11*(1+$B$37)^15*$B$3</f>
        <v>0</v>
      </c>
      <c r="R11" s="35">
        <f>$C11*(1+$B$37)^16*$B$3</f>
        <v>0</v>
      </c>
      <c r="S11" s="35">
        <f>$C11*(1+$B$37)^17*$B$3</f>
        <v>0</v>
      </c>
      <c r="T11" s="35">
        <f>$C11*(1+$B$37)^18*$B$3</f>
        <v>0</v>
      </c>
      <c r="U11" s="35">
        <f>$C11*(1+$B$37)^19*$B$3</f>
        <v>0</v>
      </c>
      <c r="V11" s="35">
        <f>$C11*(1+$B$37)^20*$B$3</f>
        <v>0</v>
      </c>
      <c r="W11" s="35">
        <f>$C11*(1+$B$37)^21*$B$3</f>
        <v>0</v>
      </c>
    </row>
    <row r="13" spans="1:23" ht="14.45" customHeight="1"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row>
    <row r="14" spans="1:23" ht="30" x14ac:dyDescent="0.25">
      <c r="A14" s="26" t="s">
        <v>9</v>
      </c>
      <c r="B14" s="26" t="s">
        <v>1</v>
      </c>
      <c r="C14" s="26" t="s">
        <v>57</v>
      </c>
      <c r="D14" s="26">
        <v>2017</v>
      </c>
      <c r="E14" s="26">
        <v>2018</v>
      </c>
      <c r="F14" s="26">
        <v>2019</v>
      </c>
      <c r="G14" s="26">
        <v>2020</v>
      </c>
      <c r="H14" s="26">
        <v>2021</v>
      </c>
      <c r="I14" s="26">
        <v>2022</v>
      </c>
      <c r="J14" s="26">
        <v>2023</v>
      </c>
      <c r="K14" s="26">
        <v>2024</v>
      </c>
      <c r="L14" s="26">
        <v>2025</v>
      </c>
      <c r="M14" s="26">
        <v>2026</v>
      </c>
      <c r="N14" s="26">
        <v>2027</v>
      </c>
      <c r="O14" s="26">
        <v>2028</v>
      </c>
      <c r="P14" s="26">
        <v>2029</v>
      </c>
      <c r="Q14" s="26">
        <v>2030</v>
      </c>
      <c r="R14" s="26">
        <v>2031</v>
      </c>
      <c r="S14" s="26">
        <v>2032</v>
      </c>
      <c r="T14" s="26">
        <v>2033</v>
      </c>
      <c r="U14" s="26">
        <v>2034</v>
      </c>
      <c r="V14" s="26">
        <v>2035</v>
      </c>
      <c r="W14" s="26">
        <v>2036</v>
      </c>
    </row>
    <row r="15" spans="1:23" x14ac:dyDescent="0.25">
      <c r="A15" s="28">
        <v>1</v>
      </c>
      <c r="B15" s="28" t="s">
        <v>13</v>
      </c>
      <c r="C15" s="31">
        <f>D32+2*D33</f>
        <v>9299932.5399999991</v>
      </c>
      <c r="D15" s="31">
        <f t="shared" ref="D15:W15" si="0">D$7*$C$15</f>
        <v>0</v>
      </c>
      <c r="E15" s="31">
        <f t="shared" si="0"/>
        <v>0</v>
      </c>
      <c r="F15" s="31">
        <f t="shared" si="0"/>
        <v>0</v>
      </c>
      <c r="G15" s="31">
        <f t="shared" si="0"/>
        <v>0</v>
      </c>
      <c r="H15" s="31">
        <f t="shared" si="0"/>
        <v>0</v>
      </c>
      <c r="I15" s="31">
        <f t="shared" si="0"/>
        <v>0</v>
      </c>
      <c r="J15" s="31">
        <f t="shared" si="0"/>
        <v>0</v>
      </c>
      <c r="K15" s="31">
        <f t="shared" si="0"/>
        <v>0</v>
      </c>
      <c r="L15" s="31">
        <f t="shared" si="0"/>
        <v>0</v>
      </c>
      <c r="M15" s="31">
        <f t="shared" si="0"/>
        <v>0</v>
      </c>
      <c r="N15" s="31">
        <f t="shared" si="0"/>
        <v>0</v>
      </c>
      <c r="O15" s="31">
        <f t="shared" si="0"/>
        <v>0</v>
      </c>
      <c r="P15" s="31">
        <f t="shared" si="0"/>
        <v>0</v>
      </c>
      <c r="Q15" s="31">
        <f t="shared" si="0"/>
        <v>0</v>
      </c>
      <c r="R15" s="31">
        <f t="shared" si="0"/>
        <v>0</v>
      </c>
      <c r="S15" s="31">
        <f t="shared" si="0"/>
        <v>0</v>
      </c>
      <c r="T15" s="31">
        <f t="shared" si="0"/>
        <v>0</v>
      </c>
      <c r="U15" s="31">
        <f t="shared" si="0"/>
        <v>0</v>
      </c>
      <c r="V15" s="31">
        <f t="shared" si="0"/>
        <v>0</v>
      </c>
      <c r="W15" s="31">
        <f t="shared" si="0"/>
        <v>0</v>
      </c>
    </row>
    <row r="16" spans="1:23" x14ac:dyDescent="0.25">
      <c r="A16" s="28">
        <v>2</v>
      </c>
      <c r="B16" s="28" t="s">
        <v>12</v>
      </c>
      <c r="C16" s="31">
        <f>0.03437*D26+0.55449*D27+0.20908*D28+0.14437*D29+0.03986*D30+0.01783*D31+0*D32+2*D33</f>
        <v>453530.47675999999</v>
      </c>
      <c r="D16" s="31">
        <f t="shared" ref="D16:W16" si="1">D$8*$C$16</f>
        <v>18643.73877543342</v>
      </c>
      <c r="E16" s="31">
        <f t="shared" si="1"/>
        <v>18736.957469310582</v>
      </c>
      <c r="F16" s="31">
        <f t="shared" si="1"/>
        <v>18830.642256657131</v>
      </c>
      <c r="G16" s="31">
        <f t="shared" si="1"/>
        <v>18924.795467940414</v>
      </c>
      <c r="H16" s="31">
        <f t="shared" si="1"/>
        <v>19019.419445280109</v>
      </c>
      <c r="I16" s="31">
        <f t="shared" si="1"/>
        <v>19114.516542506513</v>
      </c>
      <c r="J16" s="31">
        <f t="shared" si="1"/>
        <v>19210.089125219041</v>
      </c>
      <c r="K16" s="31">
        <f t="shared" si="1"/>
        <v>19306.139570845138</v>
      </c>
      <c r="L16" s="31">
        <f t="shared" si="1"/>
        <v>19402.670268699359</v>
      </c>
      <c r="M16" s="31">
        <f t="shared" si="1"/>
        <v>19499.683620042852</v>
      </c>
      <c r="N16" s="31">
        <f t="shared" si="1"/>
        <v>19597.182038143063</v>
      </c>
      <c r="O16" s="31">
        <f t="shared" si="1"/>
        <v>19695.167948333776</v>
      </c>
      <c r="P16" s="31">
        <f t="shared" si="1"/>
        <v>19793.643788075438</v>
      </c>
      <c r="Q16" s="31">
        <f t="shared" si="1"/>
        <v>19892.61200701581</v>
      </c>
      <c r="R16" s="31">
        <f t="shared" si="1"/>
        <v>19992.07506705089</v>
      </c>
      <c r="S16" s="31">
        <f t="shared" si="1"/>
        <v>20092.035442386143</v>
      </c>
      <c r="T16" s="31">
        <f t="shared" si="1"/>
        <v>20192.495619598067</v>
      </c>
      <c r="U16" s="31">
        <f t="shared" si="1"/>
        <v>20293.458097696057</v>
      </c>
      <c r="V16" s="31">
        <f t="shared" si="1"/>
        <v>20394.925388184532</v>
      </c>
      <c r="W16" s="31">
        <f t="shared" si="1"/>
        <v>20496.900015125451</v>
      </c>
    </row>
    <row r="17" spans="1:25" ht="30" x14ac:dyDescent="0.25">
      <c r="A17" s="28">
        <v>3</v>
      </c>
      <c r="B17" s="28" t="s">
        <v>53</v>
      </c>
      <c r="C17" s="31">
        <f>0.08347*D26+0.76843*D27+0.10898*D28+0.03191*D29+0.0062*D30+0.00101*D31+0*D32+2*D33</f>
        <v>129158.27075999998</v>
      </c>
      <c r="D17" s="31">
        <f t="shared" ref="D17:W17" si="2">D$9*$C$17</f>
        <v>47784.964092046343</v>
      </c>
      <c r="E17" s="31">
        <f t="shared" si="2"/>
        <v>48023.888912506576</v>
      </c>
      <c r="F17" s="31">
        <f t="shared" si="2"/>
        <v>48264.008357069099</v>
      </c>
      <c r="G17" s="31">
        <f t="shared" si="2"/>
        <v>48505.328398854435</v>
      </c>
      <c r="H17" s="31">
        <f t="shared" si="2"/>
        <v>48747.855040848692</v>
      </c>
      <c r="I17" s="31">
        <f t="shared" si="2"/>
        <v>48991.594316052935</v>
      </c>
      <c r="J17" s="31">
        <f t="shared" si="2"/>
        <v>49236.552287633189</v>
      </c>
      <c r="K17" s="31">
        <f t="shared" si="2"/>
        <v>49482.735049071358</v>
      </c>
      <c r="L17" s="31">
        <f t="shared" si="2"/>
        <v>49730.148724316699</v>
      </c>
      <c r="M17" s="31">
        <f t="shared" si="2"/>
        <v>49978.799467938283</v>
      </c>
      <c r="N17" s="31">
        <f t="shared" si="2"/>
        <v>50228.69346527796</v>
      </c>
      <c r="O17" s="31">
        <f t="shared" si="2"/>
        <v>50479.836932604347</v>
      </c>
      <c r="P17" s="31">
        <f t="shared" si="2"/>
        <v>50732.236117267355</v>
      </c>
      <c r="Q17" s="31">
        <f t="shared" si="2"/>
        <v>50985.897297853684</v>
      </c>
      <c r="R17" s="31">
        <f t="shared" si="2"/>
        <v>51240.826784342942</v>
      </c>
      <c r="S17" s="31">
        <f t="shared" si="2"/>
        <v>51497.03091826466</v>
      </c>
      <c r="T17" s="31">
        <f t="shared" si="2"/>
        <v>51754.516072855964</v>
      </c>
      <c r="U17" s="31">
        <f t="shared" si="2"/>
        <v>52013.288653220239</v>
      </c>
      <c r="V17" s="31">
        <f t="shared" si="2"/>
        <v>52273.355096486332</v>
      </c>
      <c r="W17" s="31">
        <f t="shared" si="2"/>
        <v>52534.721871968752</v>
      </c>
    </row>
    <row r="18" spans="1:25" x14ac:dyDescent="0.25">
      <c r="A18" s="28">
        <v>4</v>
      </c>
      <c r="B18" s="28" t="s">
        <v>11</v>
      </c>
      <c r="C18" s="31">
        <f>0.23437*D26+0.68946*D27+0.06391*D28+0.01071*D29+0.00142*D30+0.00013*D31+0*D32+2*D33</f>
        <v>69781.396919999985</v>
      </c>
      <c r="D18" s="31">
        <f t="shared" ref="D18:W18" si="3">D$10*$C$18</f>
        <v>34422.898629141666</v>
      </c>
      <c r="E18" s="31">
        <f t="shared" si="3"/>
        <v>34595.013122287368</v>
      </c>
      <c r="F18" s="31">
        <f t="shared" si="3"/>
        <v>34767.988187898787</v>
      </c>
      <c r="G18" s="31">
        <f t="shared" si="3"/>
        <v>34941.828128838271</v>
      </c>
      <c r="H18" s="31">
        <f t="shared" si="3"/>
        <v>35116.537269482462</v>
      </c>
      <c r="I18" s="31">
        <f t="shared" si="3"/>
        <v>35292.119955829869</v>
      </c>
      <c r="J18" s="31">
        <f t="shared" si="3"/>
        <v>35468.58055560902</v>
      </c>
      <c r="K18" s="31">
        <f t="shared" si="3"/>
        <v>35645.923458387064</v>
      </c>
      <c r="L18" s="31">
        <f t="shared" si="3"/>
        <v>35824.153075678987</v>
      </c>
      <c r="M18" s="31">
        <f t="shared" si="3"/>
        <v>36003.273841057387</v>
      </c>
      <c r="N18" s="31">
        <f t="shared" si="3"/>
        <v>36183.290210262661</v>
      </c>
      <c r="O18" s="31">
        <f t="shared" si="3"/>
        <v>36364.206661313969</v>
      </c>
      <c r="P18" s="31">
        <f t="shared" si="3"/>
        <v>36546.027694620527</v>
      </c>
      <c r="Q18" s="31">
        <f t="shared" si="3"/>
        <v>36728.757833093623</v>
      </c>
      <c r="R18" s="31">
        <f t="shared" si="3"/>
        <v>36912.401622259087</v>
      </c>
      <c r="S18" s="31">
        <f t="shared" si="3"/>
        <v>37096.963630370381</v>
      </c>
      <c r="T18" s="31">
        <f t="shared" si="3"/>
        <v>37282.448448522227</v>
      </c>
      <c r="U18" s="31">
        <f t="shared" si="3"/>
        <v>37468.860690764828</v>
      </c>
      <c r="V18" s="31">
        <f t="shared" si="3"/>
        <v>37656.204994218657</v>
      </c>
      <c r="W18" s="31">
        <f t="shared" si="3"/>
        <v>37844.486019189731</v>
      </c>
    </row>
    <row r="19" spans="1:25" ht="45" x14ac:dyDescent="0.25">
      <c r="A19" s="28">
        <v>5</v>
      </c>
      <c r="B19" s="28" t="s">
        <v>55</v>
      </c>
      <c r="C19" s="31">
        <f>0.92534*D26+0.07257*D27+0.00198*D28+0.00008*D29+0*D30+0.00003*D31+0*D32+2*D33</f>
        <v>11063.572319999999</v>
      </c>
      <c r="D19" s="31">
        <f t="shared" ref="D19:W19" si="4">D$11*$C$19</f>
        <v>0</v>
      </c>
      <c r="E19" s="31">
        <f t="shared" si="4"/>
        <v>0</v>
      </c>
      <c r="F19" s="31">
        <f t="shared" si="4"/>
        <v>0</v>
      </c>
      <c r="G19" s="31">
        <f t="shared" si="4"/>
        <v>0</v>
      </c>
      <c r="H19" s="31">
        <f t="shared" si="4"/>
        <v>0</v>
      </c>
      <c r="I19" s="31">
        <f t="shared" si="4"/>
        <v>0</v>
      </c>
      <c r="J19" s="31">
        <f t="shared" si="4"/>
        <v>0</v>
      </c>
      <c r="K19" s="31">
        <f t="shared" si="4"/>
        <v>0</v>
      </c>
      <c r="L19" s="31">
        <f t="shared" si="4"/>
        <v>0</v>
      </c>
      <c r="M19" s="31">
        <f t="shared" si="4"/>
        <v>0</v>
      </c>
      <c r="N19" s="31">
        <f t="shared" si="4"/>
        <v>0</v>
      </c>
      <c r="O19" s="31">
        <f t="shared" si="4"/>
        <v>0</v>
      </c>
      <c r="P19" s="31">
        <f t="shared" si="4"/>
        <v>0</v>
      </c>
      <c r="Q19" s="31">
        <f t="shared" si="4"/>
        <v>0</v>
      </c>
      <c r="R19" s="31">
        <f t="shared" si="4"/>
        <v>0</v>
      </c>
      <c r="S19" s="31">
        <f t="shared" si="4"/>
        <v>0</v>
      </c>
      <c r="T19" s="31">
        <f t="shared" si="4"/>
        <v>0</v>
      </c>
      <c r="U19" s="31">
        <f t="shared" si="4"/>
        <v>0</v>
      </c>
      <c r="V19" s="31">
        <f t="shared" si="4"/>
        <v>0</v>
      </c>
      <c r="W19" s="31">
        <f t="shared" si="4"/>
        <v>0</v>
      </c>
      <c r="X19" s="26" t="s">
        <v>61</v>
      </c>
    </row>
    <row r="20" spans="1:25" ht="30" x14ac:dyDescent="0.25">
      <c r="C20" s="27" t="s">
        <v>60</v>
      </c>
      <c r="D20" s="31">
        <f>SUM(D15:D19)</f>
        <v>100851.60149662143</v>
      </c>
      <c r="E20" s="31">
        <f t="shared" ref="E20:W20" si="5">SUM(E15:E19)</f>
        <v>101355.85950410453</v>
      </c>
      <c r="F20" s="31">
        <f t="shared" si="5"/>
        <v>101862.63880162503</v>
      </c>
      <c r="G20" s="31">
        <f t="shared" si="5"/>
        <v>102371.95199563312</v>
      </c>
      <c r="H20" s="31">
        <f t="shared" si="5"/>
        <v>102883.81175561126</v>
      </c>
      <c r="I20" s="31">
        <f t="shared" si="5"/>
        <v>103398.23081438932</v>
      </c>
      <c r="J20" s="31">
        <f t="shared" si="5"/>
        <v>103915.22196846125</v>
      </c>
      <c r="K20" s="31">
        <f t="shared" si="5"/>
        <v>104434.79807830355</v>
      </c>
      <c r="L20" s="31">
        <f t="shared" si="5"/>
        <v>104956.97206869505</v>
      </c>
      <c r="M20" s="31">
        <f t="shared" si="5"/>
        <v>105481.75692903853</v>
      </c>
      <c r="N20" s="31">
        <f t="shared" si="5"/>
        <v>106009.16571368367</v>
      </c>
      <c r="O20" s="31">
        <f t="shared" si="5"/>
        <v>106539.2115422521</v>
      </c>
      <c r="P20" s="31">
        <f t="shared" si="5"/>
        <v>107071.90759996332</v>
      </c>
      <c r="Q20" s="31">
        <f t="shared" si="5"/>
        <v>107607.26713796312</v>
      </c>
      <c r="R20" s="31">
        <f t="shared" si="5"/>
        <v>108145.30347365292</v>
      </c>
      <c r="S20" s="31">
        <f t="shared" si="5"/>
        <v>108686.02999102118</v>
      </c>
      <c r="T20" s="31">
        <f t="shared" si="5"/>
        <v>109229.46014097627</v>
      </c>
      <c r="U20" s="31">
        <f t="shared" si="5"/>
        <v>109775.60744168112</v>
      </c>
      <c r="V20" s="31">
        <f t="shared" si="5"/>
        <v>110324.48547888952</v>
      </c>
      <c r="W20" s="31">
        <f t="shared" si="5"/>
        <v>110876.10790628393</v>
      </c>
      <c r="X20" s="31">
        <f>SUM(D20:W20)</f>
        <v>2115777.3898388501</v>
      </c>
      <c r="Y20" s="26" t="s">
        <v>60</v>
      </c>
    </row>
    <row r="21" spans="1:25" ht="30" x14ac:dyDescent="0.25">
      <c r="C21" s="27" t="s">
        <v>77</v>
      </c>
      <c r="D21" s="31">
        <f>D20/(1.07)^2</f>
        <v>88087.694555525741</v>
      </c>
      <c r="E21" s="31">
        <f>E20/(1.07)^3</f>
        <v>82736.572923648011</v>
      </c>
      <c r="F21" s="31">
        <f>F20/(1.07)^4</f>
        <v>77710.519428286192</v>
      </c>
      <c r="G21" s="31">
        <f>G20/(1.07)^5</f>
        <v>72989.786939651953</v>
      </c>
      <c r="H21" s="31">
        <f>H20/(1.07)^6</f>
        <v>68555.827919953459</v>
      </c>
      <c r="I21" s="31">
        <f>I20/(1.07)^7</f>
        <v>64391.221550984323</v>
      </c>
      <c r="J21" s="31">
        <f>J20/(1.07)^8</f>
        <v>60479.605288541345</v>
      </c>
      <c r="K21" s="31">
        <f>K20/(1.07)^9</f>
        <v>56805.610574751438</v>
      </c>
      <c r="L21" s="31">
        <f>L20/(1.07)^10</f>
        <v>53354.802455724472</v>
      </c>
      <c r="M21" s="31">
        <f>M20/(1.07)^11</f>
        <v>50113.622867292608</v>
      </c>
      <c r="N21" s="31">
        <f>N20/(1.07)^12</f>
        <v>47069.337366008469</v>
      </c>
      <c r="O21" s="31">
        <f>O20/(1.07)^13</f>
        <v>44209.985096110759</v>
      </c>
      <c r="P21" s="31">
        <f>P20/(1.07)^14</f>
        <v>41524.33179587972</v>
      </c>
      <c r="Q21" s="31">
        <f>Q20/(1.07)^15</f>
        <v>39001.825658746828</v>
      </c>
      <c r="R21" s="31">
        <f>R20/(1.07)^16</f>
        <v>36632.555875738843</v>
      </c>
      <c r="S21" s="31">
        <f>S20/(1.07)^17</f>
        <v>34407.213696371524</v>
      </c>
      <c r="T21" s="31">
        <f>T20/(1.07)^18</f>
        <v>32317.055855003156</v>
      </c>
      <c r="U21" s="31">
        <f>U20/(1.07)^19</f>
        <v>30353.870218951553</v>
      </c>
      <c r="V21" s="31">
        <f>V20/(1.07)^20</f>
        <v>28509.943523407768</v>
      </c>
      <c r="W21" s="31">
        <f>W20/(1.07)^21</f>
        <v>26778.031066378313</v>
      </c>
      <c r="X21" s="31">
        <f>SUM(D21:W21)</f>
        <v>1036029.4146569566</v>
      </c>
      <c r="Y21" s="27" t="s">
        <v>77</v>
      </c>
    </row>
    <row r="22" spans="1:25" ht="30" x14ac:dyDescent="0.25">
      <c r="C22" s="27" t="s">
        <v>78</v>
      </c>
      <c r="D22" s="31">
        <f>D20/(1.03)^2</f>
        <v>95062.307000302986</v>
      </c>
      <c r="E22" s="31">
        <f>E20/(1.03)^3</f>
        <v>92754.969451751938</v>
      </c>
      <c r="F22" s="31">
        <f>F20/(1.03)^4</f>
        <v>90503.635241757933</v>
      </c>
      <c r="G22" s="31">
        <f>G20/(1.03)^5</f>
        <v>88306.945065987093</v>
      </c>
      <c r="H22" s="31">
        <f>H20/(1.03)^6</f>
        <v>86163.572612929114</v>
      </c>
      <c r="I22" s="31">
        <f>I20/(1.03)^7</f>
        <v>84072.223763100745</v>
      </c>
      <c r="J22" s="31">
        <f>J20/(1.03)^8</f>
        <v>82031.63580768567</v>
      </c>
      <c r="K22" s="31">
        <f>K20/(1.03)^9</f>
        <v>80040.576686139888</v>
      </c>
      <c r="L22" s="31">
        <f>L20/(1.03)^10</f>
        <v>78097.844242301537</v>
      </c>
      <c r="M22" s="31">
        <f>M20/(1.03)^11</f>
        <v>76202.265498556357</v>
      </c>
      <c r="N22" s="31">
        <f>N20/(1.03)^12</f>
        <v>74352.695947620494</v>
      </c>
      <c r="O22" s="31">
        <f>O20/(1.03)^13</f>
        <v>72548.018861513221</v>
      </c>
      <c r="P22" s="31">
        <f>P20/(1.03)^14</f>
        <v>70787.144617301688</v>
      </c>
      <c r="Q22" s="31">
        <f>Q20/(1.03)^15</f>
        <v>69069.010039211833</v>
      </c>
      <c r="R22" s="31">
        <f>R20/(1.03)^16</f>
        <v>67392.577756706698</v>
      </c>
      <c r="S22" s="31">
        <f>S20/(1.03)^17</f>
        <v>65756.835578145852</v>
      </c>
      <c r="T22" s="31">
        <f>T20/(1.03)^18</f>
        <v>64160.79587964715</v>
      </c>
      <c r="U22" s="31">
        <f>U20/(1.03)^19</f>
        <v>62603.495008781909</v>
      </c>
      <c r="V22" s="31">
        <f>V20/(1.03)^20</f>
        <v>61083.992702743511</v>
      </c>
      <c r="W22" s="31">
        <f>W20/(1.03)^21</f>
        <v>59601.371520638073</v>
      </c>
      <c r="X22" s="31">
        <f>SUM(D22:W22)</f>
        <v>1520591.9132828237</v>
      </c>
      <c r="Y22" s="26" t="s">
        <v>78</v>
      </c>
    </row>
    <row r="23" spans="1:25" x14ac:dyDescent="0.25">
      <c r="C23" s="34"/>
      <c r="D23" s="34"/>
      <c r="E23" s="34"/>
      <c r="F23" s="34"/>
      <c r="G23" s="34"/>
      <c r="H23" s="34"/>
      <c r="I23" s="34"/>
      <c r="J23" s="34"/>
      <c r="K23" s="34"/>
      <c r="L23" s="34"/>
      <c r="M23" s="34"/>
      <c r="N23" s="34"/>
      <c r="O23" s="34"/>
      <c r="P23" s="34"/>
      <c r="Q23" s="34"/>
      <c r="R23" s="34"/>
      <c r="S23" s="34"/>
      <c r="T23" s="34"/>
      <c r="U23" s="34"/>
      <c r="V23" s="34"/>
      <c r="W23" s="34"/>
      <c r="X23" s="22"/>
      <c r="Y23" s="21"/>
    </row>
    <row r="24" spans="1:25"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row>
    <row r="25" spans="1:25" ht="30" x14ac:dyDescent="0.25">
      <c r="A25" s="26" t="s">
        <v>0</v>
      </c>
      <c r="B25" s="26" t="s">
        <v>1</v>
      </c>
      <c r="C25" s="26" t="s">
        <v>8</v>
      </c>
      <c r="D25" s="26" t="s">
        <v>52</v>
      </c>
    </row>
    <row r="26" spans="1:25" x14ac:dyDescent="0.25">
      <c r="A26" s="29">
        <v>0</v>
      </c>
      <c r="B26" s="29" t="s">
        <v>10</v>
      </c>
      <c r="C26" s="30">
        <v>0</v>
      </c>
      <c r="D26" s="31">
        <f>C26*1.01</f>
        <v>0</v>
      </c>
    </row>
    <row r="27" spans="1:25" x14ac:dyDescent="0.25">
      <c r="A27" s="28">
        <v>1</v>
      </c>
      <c r="B27" s="28" t="s">
        <v>2</v>
      </c>
      <c r="C27" s="31">
        <v>27600</v>
      </c>
      <c r="D27" s="31">
        <f t="shared" ref="D27:D33" si="6">C27*1.01</f>
        <v>27876</v>
      </c>
    </row>
    <row r="28" spans="1:25" x14ac:dyDescent="0.25">
      <c r="A28" s="28">
        <v>2</v>
      </c>
      <c r="B28" s="28" t="s">
        <v>3</v>
      </c>
      <c r="C28" s="31">
        <v>432400</v>
      </c>
      <c r="D28" s="31">
        <f t="shared" si="6"/>
        <v>436724</v>
      </c>
    </row>
    <row r="29" spans="1:25" x14ac:dyDescent="0.25">
      <c r="A29" s="28">
        <v>3</v>
      </c>
      <c r="B29" s="28" t="s">
        <v>4</v>
      </c>
      <c r="C29" s="31">
        <v>966000</v>
      </c>
      <c r="D29" s="31">
        <f t="shared" si="6"/>
        <v>975660</v>
      </c>
    </row>
    <row r="30" spans="1:25" x14ac:dyDescent="0.25">
      <c r="A30" s="28">
        <v>4</v>
      </c>
      <c r="B30" s="28" t="s">
        <v>5</v>
      </c>
      <c r="C30" s="31">
        <v>2477200</v>
      </c>
      <c r="D30" s="31">
        <f t="shared" si="6"/>
        <v>2501972</v>
      </c>
    </row>
    <row r="31" spans="1:25" x14ac:dyDescent="0.25">
      <c r="A31" s="28">
        <v>5</v>
      </c>
      <c r="B31" s="28" t="s">
        <v>6</v>
      </c>
      <c r="C31" s="31">
        <v>5455600</v>
      </c>
      <c r="D31" s="31">
        <f t="shared" si="6"/>
        <v>5510156</v>
      </c>
    </row>
    <row r="32" spans="1:25" x14ac:dyDescent="0.25">
      <c r="A32" s="28">
        <v>6</v>
      </c>
      <c r="B32" s="28" t="s">
        <v>7</v>
      </c>
      <c r="C32" s="31">
        <v>9200000</v>
      </c>
      <c r="D32" s="31">
        <f t="shared" si="6"/>
        <v>9292000</v>
      </c>
    </row>
    <row r="33" spans="1:4" ht="30" x14ac:dyDescent="0.25">
      <c r="A33" s="28" t="s">
        <v>56</v>
      </c>
      <c r="B33" s="28" t="s">
        <v>54</v>
      </c>
      <c r="C33" s="31">
        <v>3927</v>
      </c>
      <c r="D33" s="31">
        <f t="shared" si="6"/>
        <v>3966.27</v>
      </c>
    </row>
    <row r="34" spans="1:4" x14ac:dyDescent="0.25">
      <c r="A34" s="23"/>
      <c r="B34" s="23"/>
      <c r="C34" s="34"/>
      <c r="D34" s="34"/>
    </row>
    <row r="35" spans="1:4" x14ac:dyDescent="0.25">
      <c r="A35" s="23"/>
      <c r="B35" s="23"/>
      <c r="C35" s="34"/>
      <c r="D35" s="34"/>
    </row>
    <row r="36" spans="1:4" x14ac:dyDescent="0.25">
      <c r="A36" s="66" t="s">
        <v>64</v>
      </c>
      <c r="B36" s="66"/>
      <c r="C36" s="24"/>
    </row>
    <row r="37" spans="1:4" x14ac:dyDescent="0.25">
      <c r="A37" s="67" t="s">
        <v>14</v>
      </c>
      <c r="B37" s="68">
        <v>5.0000000000000001E-3</v>
      </c>
      <c r="C37" s="24"/>
    </row>
    <row r="38" spans="1:4" x14ac:dyDescent="0.25">
      <c r="A38" s="67"/>
      <c r="B38" s="68"/>
      <c r="C38" s="24"/>
    </row>
    <row r="39" spans="1:4" x14ac:dyDescent="0.25">
      <c r="A39" s="33" t="s">
        <v>16</v>
      </c>
    </row>
    <row r="40" spans="1:4" x14ac:dyDescent="0.25">
      <c r="A40" s="33" t="s">
        <v>76</v>
      </c>
    </row>
    <row r="41" spans="1:4" x14ac:dyDescent="0.25">
      <c r="A41" s="33" t="s">
        <v>75</v>
      </c>
    </row>
  </sheetData>
  <mergeCells count="7">
    <mergeCell ref="A37:A38"/>
    <mergeCell ref="B37:B38"/>
    <mergeCell ref="A1:B1"/>
    <mergeCell ref="A5:W5"/>
    <mergeCell ref="A13:W13"/>
    <mergeCell ref="A24:D24"/>
    <mergeCell ref="A36:B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workbookViewId="0">
      <selection activeCell="F12" sqref="F12"/>
    </sheetView>
  </sheetViews>
  <sheetFormatPr defaultColWidth="8.85546875" defaultRowHeight="15" x14ac:dyDescent="0.25"/>
  <cols>
    <col min="1" max="25" width="15.7109375" style="20" customWidth="1"/>
    <col min="26" max="16384" width="8.85546875" style="20"/>
  </cols>
  <sheetData>
    <row r="1" spans="1:23" x14ac:dyDescent="0.25">
      <c r="A1" s="66" t="s">
        <v>71</v>
      </c>
      <c r="B1" s="66"/>
    </row>
    <row r="2" spans="1:23" ht="30" x14ac:dyDescent="0.25">
      <c r="A2" s="26" t="s">
        <v>58</v>
      </c>
      <c r="B2" s="25" t="s">
        <v>69</v>
      </c>
    </row>
    <row r="3" spans="1:23" ht="45" x14ac:dyDescent="0.25">
      <c r="A3" s="26" t="s">
        <v>59</v>
      </c>
      <c r="B3" s="25">
        <v>0.52</v>
      </c>
    </row>
    <row r="5" spans="1:23" ht="14.45" customHeight="1" x14ac:dyDescent="0.25">
      <c r="A5" s="66" t="s">
        <v>62</v>
      </c>
      <c r="B5" s="66"/>
      <c r="C5" s="66"/>
      <c r="D5" s="66"/>
      <c r="E5" s="66"/>
      <c r="F5" s="66"/>
      <c r="G5" s="66"/>
      <c r="H5" s="66"/>
      <c r="I5" s="66"/>
      <c r="J5" s="66"/>
      <c r="K5" s="66"/>
      <c r="L5" s="66"/>
      <c r="M5" s="66"/>
      <c r="N5" s="66"/>
      <c r="O5" s="66"/>
      <c r="P5" s="66"/>
      <c r="Q5" s="66"/>
      <c r="R5" s="66"/>
      <c r="S5" s="66"/>
      <c r="T5" s="66"/>
      <c r="U5" s="66"/>
      <c r="V5" s="66"/>
      <c r="W5" s="66"/>
    </row>
    <row r="6" spans="1:23" ht="30" x14ac:dyDescent="0.25">
      <c r="A6" s="26" t="s">
        <v>9</v>
      </c>
      <c r="B6" s="26" t="s">
        <v>1</v>
      </c>
      <c r="C6" s="27" t="s">
        <v>51</v>
      </c>
      <c r="D6" s="26">
        <v>2017</v>
      </c>
      <c r="E6" s="26">
        <v>2018</v>
      </c>
      <c r="F6" s="26">
        <v>2019</v>
      </c>
      <c r="G6" s="26">
        <v>2020</v>
      </c>
      <c r="H6" s="26">
        <v>2021</v>
      </c>
      <c r="I6" s="26">
        <v>2022</v>
      </c>
      <c r="J6" s="26">
        <v>2023</v>
      </c>
      <c r="K6" s="26">
        <v>2024</v>
      </c>
      <c r="L6" s="26">
        <v>2025</v>
      </c>
      <c r="M6" s="26">
        <v>2026</v>
      </c>
      <c r="N6" s="26">
        <v>2027</v>
      </c>
      <c r="O6" s="26">
        <v>2028</v>
      </c>
      <c r="P6" s="26">
        <v>2029</v>
      </c>
      <c r="Q6" s="26">
        <v>2030</v>
      </c>
      <c r="R6" s="26">
        <v>2031</v>
      </c>
      <c r="S6" s="26">
        <v>2032</v>
      </c>
      <c r="T6" s="26">
        <v>2033</v>
      </c>
      <c r="U6" s="26">
        <v>2034</v>
      </c>
      <c r="V6" s="26">
        <v>2035</v>
      </c>
      <c r="W6" s="26">
        <v>2036</v>
      </c>
    </row>
    <row r="7" spans="1:23" x14ac:dyDescent="0.25">
      <c r="A7" s="28">
        <v>1</v>
      </c>
      <c r="B7" s="28" t="s">
        <v>13</v>
      </c>
      <c r="C7" s="25">
        <v>0</v>
      </c>
      <c r="D7" s="35">
        <f>$C7*(1+$B$37)^2*$B$3</f>
        <v>0</v>
      </c>
      <c r="E7" s="35">
        <f>$C7*(1+$B$37)^3*$B$3</f>
        <v>0</v>
      </c>
      <c r="F7" s="35">
        <f>$C7*(1+$B$37)^4*$B$3</f>
        <v>0</v>
      </c>
      <c r="G7" s="35">
        <f>$C7*(1+$B$37)^5*$B$3</f>
        <v>0</v>
      </c>
      <c r="H7" s="35">
        <f>$C7*(1+$B$37)^6*$B$3</f>
        <v>0</v>
      </c>
      <c r="I7" s="35">
        <f>$C7*(1+$B$37)^7*$B$3</f>
        <v>0</v>
      </c>
      <c r="J7" s="35">
        <f>$C7*(1+$B$37)^8*$B$3</f>
        <v>0</v>
      </c>
      <c r="K7" s="35">
        <f>$C7*(1+$B$37)^9*$B$3</f>
        <v>0</v>
      </c>
      <c r="L7" s="35">
        <f>$C7*(1+$B$37)^10*$B$3</f>
        <v>0</v>
      </c>
      <c r="M7" s="35">
        <f>$C7*(1+$B$37)^11*$B$3</f>
        <v>0</v>
      </c>
      <c r="N7" s="35">
        <f>$C7*(1+$B$37)^12*$B$3</f>
        <v>0</v>
      </c>
      <c r="O7" s="35">
        <f>$C7*(1+$B$37)^13*$B$3</f>
        <v>0</v>
      </c>
      <c r="P7" s="35">
        <f>$C7*(1+$B$37)^14*$B$3</f>
        <v>0</v>
      </c>
      <c r="Q7" s="35">
        <f>$C7*(1+$B$37)^15*$B$3</f>
        <v>0</v>
      </c>
      <c r="R7" s="35">
        <f>$C7*(1+$B$37)^16*$B$3</f>
        <v>0</v>
      </c>
      <c r="S7" s="35">
        <f>$C7*(1+$B$37)^17*$B$3</f>
        <v>0</v>
      </c>
      <c r="T7" s="35">
        <f>$C7*(1+$B$37)^18*$B$3</f>
        <v>0</v>
      </c>
      <c r="U7" s="35">
        <f>$C7*(1+$B$37)^19*$B$3</f>
        <v>0</v>
      </c>
      <c r="V7" s="35">
        <f>$C7*(1+$B$37)^20*$B$3</f>
        <v>0</v>
      </c>
      <c r="W7" s="35">
        <f>$C7*(1+$B$37)^21*$B$3</f>
        <v>0</v>
      </c>
    </row>
    <row r="8" spans="1:23" x14ac:dyDescent="0.25">
      <c r="A8" s="28">
        <v>2</v>
      </c>
      <c r="B8" s="28" t="s">
        <v>12</v>
      </c>
      <c r="C8" s="25">
        <v>0</v>
      </c>
      <c r="D8" s="35">
        <f>$C8*(1+$B$37)^2*$B$3</f>
        <v>0</v>
      </c>
      <c r="E8" s="35">
        <f>$C8*(1+$B$37)^3*$B$3</f>
        <v>0</v>
      </c>
      <c r="F8" s="35">
        <f>$C8*(1+$B$37)^4*$B$3</f>
        <v>0</v>
      </c>
      <c r="G8" s="35">
        <f>$C8*(1+$B$37)^5*$B$3</f>
        <v>0</v>
      </c>
      <c r="H8" s="35">
        <f>$C8*(1+$B$37)^6*$B$3</f>
        <v>0</v>
      </c>
      <c r="I8" s="35">
        <f>$C8*(1+$B$37)^7*$B$3</f>
        <v>0</v>
      </c>
      <c r="J8" s="35">
        <f>$C8*(1+$B$37)^8*$B$3</f>
        <v>0</v>
      </c>
      <c r="K8" s="35">
        <f>$C8*(1+$B$37)^9*$B$3</f>
        <v>0</v>
      </c>
      <c r="L8" s="35">
        <f>$C8*(1+$B$37)^10*$B$3</f>
        <v>0</v>
      </c>
      <c r="M8" s="35">
        <f>$C8*(1+$B$37)^11*$B$3</f>
        <v>0</v>
      </c>
      <c r="N8" s="35">
        <f>$C8*(1+$B$37)^12*$B$3</f>
        <v>0</v>
      </c>
      <c r="O8" s="35">
        <f>$C8*(1+$B$37)^13*$B$3</f>
        <v>0</v>
      </c>
      <c r="P8" s="35">
        <f>$C8*(1+$B$37)^14*$B$3</f>
        <v>0</v>
      </c>
      <c r="Q8" s="35">
        <f>$C8*(1+$B$37)^15*$B$3</f>
        <v>0</v>
      </c>
      <c r="R8" s="35">
        <f>$C8*(1+$B$37)^16*$B$3</f>
        <v>0</v>
      </c>
      <c r="S8" s="35">
        <f>$C8*(1+$B$37)^17*$B$3</f>
        <v>0</v>
      </c>
      <c r="T8" s="35">
        <f>$C8*(1+$B$37)^18*$B$3</f>
        <v>0</v>
      </c>
      <c r="U8" s="35">
        <f>$C8*(1+$B$37)^19*$B$3</f>
        <v>0</v>
      </c>
      <c r="V8" s="35">
        <f>$C8*(1+$B$37)^20*$B$3</f>
        <v>0</v>
      </c>
      <c r="W8" s="35">
        <f>$C8*(1+$B$37)^21*$B$3</f>
        <v>0</v>
      </c>
    </row>
    <row r="9" spans="1:23" ht="30" x14ac:dyDescent="0.25">
      <c r="A9" s="28">
        <v>3</v>
      </c>
      <c r="B9" s="28" t="s">
        <v>53</v>
      </c>
      <c r="C9" s="25">
        <v>0</v>
      </c>
      <c r="D9" s="35">
        <f>$C9*(1+$B$37)^2*$B$3</f>
        <v>0</v>
      </c>
      <c r="E9" s="35">
        <f>$C9*(1+$B$37)^3*$B$3</f>
        <v>0</v>
      </c>
      <c r="F9" s="35">
        <f>$C9*(1+$B$37)^4*$B$3</f>
        <v>0</v>
      </c>
      <c r="G9" s="35">
        <f>$C9*(1+$B$37)^5*$B$3</f>
        <v>0</v>
      </c>
      <c r="H9" s="35">
        <f>$C9*(1+$B$37)^6*$B$3</f>
        <v>0</v>
      </c>
      <c r="I9" s="35">
        <f>$C9*(1+$B$37)^7*$B$3</f>
        <v>0</v>
      </c>
      <c r="J9" s="35">
        <f>$C9*(1+$B$37)^8*$B$3</f>
        <v>0</v>
      </c>
      <c r="K9" s="35">
        <f>$C9*(1+$B$37)^9*$B$3</f>
        <v>0</v>
      </c>
      <c r="L9" s="35">
        <f>$C9*(1+$B$37)^10*$B$3</f>
        <v>0</v>
      </c>
      <c r="M9" s="35">
        <f>$C9*(1+$B$37)^11*$B$3</f>
        <v>0</v>
      </c>
      <c r="N9" s="35">
        <f>$C9*(1+$B$37)^12*$B$3</f>
        <v>0</v>
      </c>
      <c r="O9" s="35">
        <f>$C9*(1+$B$37)^13*$B$3</f>
        <v>0</v>
      </c>
      <c r="P9" s="35">
        <f>$C9*(1+$B$37)^14*$B$3</f>
        <v>0</v>
      </c>
      <c r="Q9" s="35">
        <f>$C9*(1+$B$37)^15*$B$3</f>
        <v>0</v>
      </c>
      <c r="R9" s="35">
        <f>$C9*(1+$B$37)^16*$B$3</f>
        <v>0</v>
      </c>
      <c r="S9" s="35">
        <f>$C9*(1+$B$37)^17*$B$3</f>
        <v>0</v>
      </c>
      <c r="T9" s="35">
        <f>$C9*(1+$B$37)^18*$B$3</f>
        <v>0</v>
      </c>
      <c r="U9" s="35">
        <f>$C9*(1+$B$37)^19*$B$3</f>
        <v>0</v>
      </c>
      <c r="V9" s="35">
        <f>$C9*(1+$B$37)^20*$B$3</f>
        <v>0</v>
      </c>
      <c r="W9" s="35">
        <f>$C9*(1+$B$37)^21*$B$3</f>
        <v>0</v>
      </c>
    </row>
    <row r="10" spans="1:23" x14ac:dyDescent="0.25">
      <c r="A10" s="28">
        <v>4</v>
      </c>
      <c r="B10" s="28" t="s">
        <v>11</v>
      </c>
      <c r="C10" s="25">
        <v>0</v>
      </c>
      <c r="D10" s="35">
        <f>$C10*(1+$B$37)^2*$B$3</f>
        <v>0</v>
      </c>
      <c r="E10" s="35">
        <f>$C10*(1+$B$37)^3*$B$3</f>
        <v>0</v>
      </c>
      <c r="F10" s="35">
        <f>$C10*(1+$B$37)^4*$B$3</f>
        <v>0</v>
      </c>
      <c r="G10" s="35">
        <f>$C10*(1+$B$37)^5*$B$3</f>
        <v>0</v>
      </c>
      <c r="H10" s="35">
        <f>$C10*(1+$B$37)^6*$B$3</f>
        <v>0</v>
      </c>
      <c r="I10" s="35">
        <f>$C10*(1+$B$37)^7*$B$3</f>
        <v>0</v>
      </c>
      <c r="J10" s="35">
        <f>$C10*(1+$B$37)^8*$B$3</f>
        <v>0</v>
      </c>
      <c r="K10" s="35">
        <f>$C10*(1+$B$37)^9*$B$3</f>
        <v>0</v>
      </c>
      <c r="L10" s="35">
        <f>$C10*(1+$B$37)^10*$B$3</f>
        <v>0</v>
      </c>
      <c r="M10" s="35">
        <f>$C10*(1+$B$37)^11*$B$3</f>
        <v>0</v>
      </c>
      <c r="N10" s="35">
        <f>$C10*(1+$B$37)^12*$B$3</f>
        <v>0</v>
      </c>
      <c r="O10" s="35">
        <f>$C10*(1+$B$37)^13*$B$3</f>
        <v>0</v>
      </c>
      <c r="P10" s="35">
        <f>$C10*(1+$B$37)^14*$B$3</f>
        <v>0</v>
      </c>
      <c r="Q10" s="35">
        <f>$C10*(1+$B$37)^15*$B$3</f>
        <v>0</v>
      </c>
      <c r="R10" s="35">
        <f>$C10*(1+$B$37)^16*$B$3</f>
        <v>0</v>
      </c>
      <c r="S10" s="35">
        <f>$C10*(1+$B$37)^17*$B$3</f>
        <v>0</v>
      </c>
      <c r="T10" s="35">
        <f>$C10*(1+$B$37)^18*$B$3</f>
        <v>0</v>
      </c>
      <c r="U10" s="35">
        <f>$C10*(1+$B$37)^19*$B$3</f>
        <v>0</v>
      </c>
      <c r="V10" s="35">
        <f>$C10*(1+$B$37)^20*$B$3</f>
        <v>0</v>
      </c>
      <c r="W10" s="35">
        <f>$C10*(1+$B$37)^21*$B$3</f>
        <v>0</v>
      </c>
    </row>
    <row r="11" spans="1:23" ht="45" x14ac:dyDescent="0.25">
      <c r="A11" s="28">
        <v>5</v>
      </c>
      <c r="B11" s="28" t="s">
        <v>55</v>
      </c>
      <c r="C11" s="25">
        <v>5.18</v>
      </c>
      <c r="D11" s="35">
        <f>$C11*(1+$B$37)^2*$B$3</f>
        <v>2.7206033399999989</v>
      </c>
      <c r="E11" s="35">
        <f>$C11*(1+$B$37)^3*$B$3</f>
        <v>2.7342063566999992</v>
      </c>
      <c r="F11" s="35">
        <f>$C11*(1+$B$37)^4*$B$3</f>
        <v>2.7478773884834982</v>
      </c>
      <c r="G11" s="35">
        <f>$C11*(1+$B$37)^5*$B$3</f>
        <v>2.7616167754259151</v>
      </c>
      <c r="H11" s="35">
        <f>$C11*(1+$B$37)^6*$B$3</f>
        <v>2.7754248593030444</v>
      </c>
      <c r="I11" s="35">
        <f>$C11*(1+$B$37)^7*$B$3</f>
        <v>2.7893019835995596</v>
      </c>
      <c r="J11" s="35">
        <f>$C11*(1+$B$37)^8*$B$3</f>
        <v>2.803248493517557</v>
      </c>
      <c r="K11" s="35">
        <f>$C11*(1+$B$37)^9*$B$3</f>
        <v>2.8172647359851446</v>
      </c>
      <c r="L11" s="35">
        <f>$C11*(1+$B$37)^10*$B$3</f>
        <v>2.8313510596650695</v>
      </c>
      <c r="M11" s="35">
        <f>$C11*(1+$B$37)^11*$B$3</f>
        <v>2.8455078149633946</v>
      </c>
      <c r="N11" s="35">
        <f>$C11*(1+$B$37)^12*$B$3</f>
        <v>2.8597353540382109</v>
      </c>
      <c r="O11" s="35">
        <f>$C11*(1+$B$37)^13*$B$3</f>
        <v>2.8740340308084016</v>
      </c>
      <c r="P11" s="35">
        <f>$C11*(1+$B$37)^14*$B$3</f>
        <v>2.8884042009624427</v>
      </c>
      <c r="Q11" s="35">
        <f>$C11*(1+$B$37)^15*$B$3</f>
        <v>2.9028462219672546</v>
      </c>
      <c r="R11" s="35">
        <f>$C11*(1+$B$37)^16*$B$3</f>
        <v>2.9173604530770905</v>
      </c>
      <c r="S11" s="35">
        <f>$C11*(1+$B$37)^17*$B$3</f>
        <v>2.9319472553424757</v>
      </c>
      <c r="T11" s="35">
        <f>$C11*(1+$B$37)^18*$B$3</f>
        <v>2.9466069916191873</v>
      </c>
      <c r="U11" s="35">
        <f>$C11*(1+$B$37)^19*$B$3</f>
        <v>2.9613400265772829</v>
      </c>
      <c r="V11" s="35">
        <f>$C11*(1+$B$37)^20*$B$3</f>
        <v>2.9761467267101693</v>
      </c>
      <c r="W11" s="35">
        <f>$C11*(1+$B$37)^21*$B$3</f>
        <v>2.991027460343719</v>
      </c>
    </row>
    <row r="13" spans="1:23" ht="14.45" customHeight="1"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row>
    <row r="14" spans="1:23" ht="30" x14ac:dyDescent="0.25">
      <c r="A14" s="26" t="s">
        <v>9</v>
      </c>
      <c r="B14" s="26" t="s">
        <v>1</v>
      </c>
      <c r="C14" s="26" t="s">
        <v>57</v>
      </c>
      <c r="D14" s="26">
        <v>2017</v>
      </c>
      <c r="E14" s="26">
        <v>2018</v>
      </c>
      <c r="F14" s="26">
        <v>2019</v>
      </c>
      <c r="G14" s="26">
        <v>2020</v>
      </c>
      <c r="H14" s="26">
        <v>2021</v>
      </c>
      <c r="I14" s="26">
        <v>2022</v>
      </c>
      <c r="J14" s="26">
        <v>2023</v>
      </c>
      <c r="K14" s="26">
        <v>2024</v>
      </c>
      <c r="L14" s="26">
        <v>2025</v>
      </c>
      <c r="M14" s="26">
        <v>2026</v>
      </c>
      <c r="N14" s="26">
        <v>2027</v>
      </c>
      <c r="O14" s="26">
        <v>2028</v>
      </c>
      <c r="P14" s="26">
        <v>2029</v>
      </c>
      <c r="Q14" s="26">
        <v>2030</v>
      </c>
      <c r="R14" s="26">
        <v>2031</v>
      </c>
      <c r="S14" s="26">
        <v>2032</v>
      </c>
      <c r="T14" s="26">
        <v>2033</v>
      </c>
      <c r="U14" s="26">
        <v>2034</v>
      </c>
      <c r="V14" s="26">
        <v>2035</v>
      </c>
      <c r="W14" s="26">
        <v>2036</v>
      </c>
    </row>
    <row r="15" spans="1:23" x14ac:dyDescent="0.25">
      <c r="A15" s="28">
        <v>1</v>
      </c>
      <c r="B15" s="28" t="s">
        <v>13</v>
      </c>
      <c r="C15" s="31">
        <f>D32+2*D33</f>
        <v>9299932.5399999991</v>
      </c>
      <c r="D15" s="31">
        <f t="shared" ref="D15:W15" si="0">D$7*$C$15</f>
        <v>0</v>
      </c>
      <c r="E15" s="31">
        <f t="shared" si="0"/>
        <v>0</v>
      </c>
      <c r="F15" s="31">
        <f t="shared" si="0"/>
        <v>0</v>
      </c>
      <c r="G15" s="31">
        <f t="shared" si="0"/>
        <v>0</v>
      </c>
      <c r="H15" s="31">
        <f t="shared" si="0"/>
        <v>0</v>
      </c>
      <c r="I15" s="31">
        <f t="shared" si="0"/>
        <v>0</v>
      </c>
      <c r="J15" s="31">
        <f t="shared" si="0"/>
        <v>0</v>
      </c>
      <c r="K15" s="31">
        <f t="shared" si="0"/>
        <v>0</v>
      </c>
      <c r="L15" s="31">
        <f t="shared" si="0"/>
        <v>0</v>
      </c>
      <c r="M15" s="31">
        <f t="shared" si="0"/>
        <v>0</v>
      </c>
      <c r="N15" s="31">
        <f t="shared" si="0"/>
        <v>0</v>
      </c>
      <c r="O15" s="31">
        <f t="shared" si="0"/>
        <v>0</v>
      </c>
      <c r="P15" s="31">
        <f t="shared" si="0"/>
        <v>0</v>
      </c>
      <c r="Q15" s="31">
        <f t="shared" si="0"/>
        <v>0</v>
      </c>
      <c r="R15" s="31">
        <f t="shared" si="0"/>
        <v>0</v>
      </c>
      <c r="S15" s="31">
        <f t="shared" si="0"/>
        <v>0</v>
      </c>
      <c r="T15" s="31">
        <f t="shared" si="0"/>
        <v>0</v>
      </c>
      <c r="U15" s="31">
        <f t="shared" si="0"/>
        <v>0</v>
      </c>
      <c r="V15" s="31">
        <f t="shared" si="0"/>
        <v>0</v>
      </c>
      <c r="W15" s="31">
        <f t="shared" si="0"/>
        <v>0</v>
      </c>
    </row>
    <row r="16" spans="1:23" x14ac:dyDescent="0.25">
      <c r="A16" s="28">
        <v>2</v>
      </c>
      <c r="B16" s="28" t="s">
        <v>12</v>
      </c>
      <c r="C16" s="31">
        <f>0.03437*D26+0.55449*D27+0.20908*D28+0.14437*D29+0.03986*D30+0.01783*D31+0*D32+2*D33</f>
        <v>453530.47675999999</v>
      </c>
      <c r="D16" s="31">
        <f t="shared" ref="D16:W16" si="1">D$8*$C$16</f>
        <v>0</v>
      </c>
      <c r="E16" s="31">
        <f t="shared" si="1"/>
        <v>0</v>
      </c>
      <c r="F16" s="31">
        <f t="shared" si="1"/>
        <v>0</v>
      </c>
      <c r="G16" s="31">
        <f t="shared" si="1"/>
        <v>0</v>
      </c>
      <c r="H16" s="31">
        <f t="shared" si="1"/>
        <v>0</v>
      </c>
      <c r="I16" s="31">
        <f t="shared" si="1"/>
        <v>0</v>
      </c>
      <c r="J16" s="31">
        <f t="shared" si="1"/>
        <v>0</v>
      </c>
      <c r="K16" s="31">
        <f t="shared" si="1"/>
        <v>0</v>
      </c>
      <c r="L16" s="31">
        <f t="shared" si="1"/>
        <v>0</v>
      </c>
      <c r="M16" s="31">
        <f t="shared" si="1"/>
        <v>0</v>
      </c>
      <c r="N16" s="31">
        <f t="shared" si="1"/>
        <v>0</v>
      </c>
      <c r="O16" s="31">
        <f t="shared" si="1"/>
        <v>0</v>
      </c>
      <c r="P16" s="31">
        <f t="shared" si="1"/>
        <v>0</v>
      </c>
      <c r="Q16" s="31">
        <f t="shared" si="1"/>
        <v>0</v>
      </c>
      <c r="R16" s="31">
        <f t="shared" si="1"/>
        <v>0</v>
      </c>
      <c r="S16" s="31">
        <f t="shared" si="1"/>
        <v>0</v>
      </c>
      <c r="T16" s="31">
        <f t="shared" si="1"/>
        <v>0</v>
      </c>
      <c r="U16" s="31">
        <f t="shared" si="1"/>
        <v>0</v>
      </c>
      <c r="V16" s="31">
        <f t="shared" si="1"/>
        <v>0</v>
      </c>
      <c r="W16" s="31">
        <f t="shared" si="1"/>
        <v>0</v>
      </c>
    </row>
    <row r="17" spans="1:25" ht="30" x14ac:dyDescent="0.25">
      <c r="A17" s="28">
        <v>3</v>
      </c>
      <c r="B17" s="28" t="s">
        <v>53</v>
      </c>
      <c r="C17" s="31">
        <f>0.08347*D26+0.76843*D27+0.10898*D28+0.03191*D29+0.0062*D30+0.00101*D31+0*D32+2*D33</f>
        <v>129158.27075999998</v>
      </c>
      <c r="D17" s="31">
        <f t="shared" ref="D17:W17" si="2">D$9*$C$17</f>
        <v>0</v>
      </c>
      <c r="E17" s="31">
        <f t="shared" si="2"/>
        <v>0</v>
      </c>
      <c r="F17" s="31">
        <f t="shared" si="2"/>
        <v>0</v>
      </c>
      <c r="G17" s="31">
        <f t="shared" si="2"/>
        <v>0</v>
      </c>
      <c r="H17" s="31">
        <f t="shared" si="2"/>
        <v>0</v>
      </c>
      <c r="I17" s="31">
        <f t="shared" si="2"/>
        <v>0</v>
      </c>
      <c r="J17" s="31">
        <f t="shared" si="2"/>
        <v>0</v>
      </c>
      <c r="K17" s="31">
        <f t="shared" si="2"/>
        <v>0</v>
      </c>
      <c r="L17" s="31">
        <f t="shared" si="2"/>
        <v>0</v>
      </c>
      <c r="M17" s="31">
        <f t="shared" si="2"/>
        <v>0</v>
      </c>
      <c r="N17" s="31">
        <f t="shared" si="2"/>
        <v>0</v>
      </c>
      <c r="O17" s="31">
        <f t="shared" si="2"/>
        <v>0</v>
      </c>
      <c r="P17" s="31">
        <f t="shared" si="2"/>
        <v>0</v>
      </c>
      <c r="Q17" s="31">
        <f t="shared" si="2"/>
        <v>0</v>
      </c>
      <c r="R17" s="31">
        <f t="shared" si="2"/>
        <v>0</v>
      </c>
      <c r="S17" s="31">
        <f t="shared" si="2"/>
        <v>0</v>
      </c>
      <c r="T17" s="31">
        <f t="shared" si="2"/>
        <v>0</v>
      </c>
      <c r="U17" s="31">
        <f t="shared" si="2"/>
        <v>0</v>
      </c>
      <c r="V17" s="31">
        <f t="shared" si="2"/>
        <v>0</v>
      </c>
      <c r="W17" s="31">
        <f t="shared" si="2"/>
        <v>0</v>
      </c>
    </row>
    <row r="18" spans="1:25" x14ac:dyDescent="0.25">
      <c r="A18" s="28">
        <v>4</v>
      </c>
      <c r="B18" s="28" t="s">
        <v>11</v>
      </c>
      <c r="C18" s="31">
        <f>0.23437*D26+0.68946*D27+0.06391*D28+0.01071*D29+0.00142*D30+0.00013*D31+0*D32+2*D33</f>
        <v>69781.396919999985</v>
      </c>
      <c r="D18" s="31">
        <f t="shared" ref="D18:W18" si="3">D$10*$C$18</f>
        <v>0</v>
      </c>
      <c r="E18" s="31">
        <f t="shared" si="3"/>
        <v>0</v>
      </c>
      <c r="F18" s="31">
        <f t="shared" si="3"/>
        <v>0</v>
      </c>
      <c r="G18" s="31">
        <f t="shared" si="3"/>
        <v>0</v>
      </c>
      <c r="H18" s="31">
        <f t="shared" si="3"/>
        <v>0</v>
      </c>
      <c r="I18" s="31">
        <f t="shared" si="3"/>
        <v>0</v>
      </c>
      <c r="J18" s="31">
        <f t="shared" si="3"/>
        <v>0</v>
      </c>
      <c r="K18" s="31">
        <f t="shared" si="3"/>
        <v>0</v>
      </c>
      <c r="L18" s="31">
        <f t="shared" si="3"/>
        <v>0</v>
      </c>
      <c r="M18" s="31">
        <f t="shared" si="3"/>
        <v>0</v>
      </c>
      <c r="N18" s="31">
        <f t="shared" si="3"/>
        <v>0</v>
      </c>
      <c r="O18" s="31">
        <f t="shared" si="3"/>
        <v>0</v>
      </c>
      <c r="P18" s="31">
        <f t="shared" si="3"/>
        <v>0</v>
      </c>
      <c r="Q18" s="31">
        <f t="shared" si="3"/>
        <v>0</v>
      </c>
      <c r="R18" s="31">
        <f t="shared" si="3"/>
        <v>0</v>
      </c>
      <c r="S18" s="31">
        <f t="shared" si="3"/>
        <v>0</v>
      </c>
      <c r="T18" s="31">
        <f t="shared" si="3"/>
        <v>0</v>
      </c>
      <c r="U18" s="31">
        <f t="shared" si="3"/>
        <v>0</v>
      </c>
      <c r="V18" s="31">
        <f t="shared" si="3"/>
        <v>0</v>
      </c>
      <c r="W18" s="31">
        <f t="shared" si="3"/>
        <v>0</v>
      </c>
    </row>
    <row r="19" spans="1:25" ht="45" x14ac:dyDescent="0.25">
      <c r="A19" s="28">
        <v>5</v>
      </c>
      <c r="B19" s="28" t="s">
        <v>55</v>
      </c>
      <c r="C19" s="31">
        <f>0.92534*D26+0.07257*D27+0.00198*D28+0.00008*D29+0*D30+0.00003*D31+0*D32+2*D33</f>
        <v>11063.572319999999</v>
      </c>
      <c r="D19" s="31">
        <f t="shared" ref="D19:W19" si="4">D$11*$C$19</f>
        <v>30099.591806123535</v>
      </c>
      <c r="E19" s="31">
        <f t="shared" si="4"/>
        <v>30250.089765154156</v>
      </c>
      <c r="F19" s="31">
        <f t="shared" si="4"/>
        <v>30401.340213979915</v>
      </c>
      <c r="G19" s="31">
        <f t="shared" si="4"/>
        <v>30553.346915049809</v>
      </c>
      <c r="H19" s="31">
        <f t="shared" si="4"/>
        <v>30706.113649625055</v>
      </c>
      <c r="I19" s="31">
        <f t="shared" si="4"/>
        <v>30859.644217873181</v>
      </c>
      <c r="J19" s="31">
        <f t="shared" si="4"/>
        <v>31013.942438962542</v>
      </c>
      <c r="K19" s="31">
        <f t="shared" si="4"/>
        <v>31169.012151157352</v>
      </c>
      <c r="L19" s="31">
        <f t="shared" si="4"/>
        <v>31324.857211913128</v>
      </c>
      <c r="M19" s="31">
        <f t="shared" si="4"/>
        <v>31481.481497972691</v>
      </c>
      <c r="N19" s="31">
        <f t="shared" si="4"/>
        <v>31638.888905462547</v>
      </c>
      <c r="O19" s="31">
        <f t="shared" si="4"/>
        <v>31797.083349989858</v>
      </c>
      <c r="P19" s="31">
        <f t="shared" si="4"/>
        <v>31956.068766739794</v>
      </c>
      <c r="Q19" s="31">
        <f t="shared" si="4"/>
        <v>32115.849110573494</v>
      </c>
      <c r="R19" s="31">
        <f t="shared" si="4"/>
        <v>32276.428356126355</v>
      </c>
      <c r="S19" s="31">
        <f t="shared" si="4"/>
        <v>32437.810497906983</v>
      </c>
      <c r="T19" s="31">
        <f t="shared" si="4"/>
        <v>32599.999550396511</v>
      </c>
      <c r="U19" s="31">
        <f t="shared" si="4"/>
        <v>32762.999548148491</v>
      </c>
      <c r="V19" s="31">
        <f t="shared" si="4"/>
        <v>32926.814545889232</v>
      </c>
      <c r="W19" s="31">
        <f t="shared" si="4"/>
        <v>33091.448618618662</v>
      </c>
      <c r="X19" s="26" t="s">
        <v>61</v>
      </c>
    </row>
    <row r="20" spans="1:25" ht="30" x14ac:dyDescent="0.25">
      <c r="C20" s="27" t="s">
        <v>60</v>
      </c>
      <c r="D20" s="31">
        <f>SUM(D15:D19)</f>
        <v>30099.591806123535</v>
      </c>
      <c r="E20" s="31">
        <f t="shared" ref="E20:W20" si="5">SUM(E15:E19)</f>
        <v>30250.089765154156</v>
      </c>
      <c r="F20" s="31">
        <f t="shared" si="5"/>
        <v>30401.340213979915</v>
      </c>
      <c r="G20" s="31">
        <f t="shared" si="5"/>
        <v>30553.346915049809</v>
      </c>
      <c r="H20" s="31">
        <f t="shared" si="5"/>
        <v>30706.113649625055</v>
      </c>
      <c r="I20" s="31">
        <f t="shared" si="5"/>
        <v>30859.644217873181</v>
      </c>
      <c r="J20" s="31">
        <f t="shared" si="5"/>
        <v>31013.942438962542</v>
      </c>
      <c r="K20" s="31">
        <f t="shared" si="5"/>
        <v>31169.012151157352</v>
      </c>
      <c r="L20" s="31">
        <f t="shared" si="5"/>
        <v>31324.857211913128</v>
      </c>
      <c r="M20" s="31">
        <f t="shared" si="5"/>
        <v>31481.481497972691</v>
      </c>
      <c r="N20" s="31">
        <f t="shared" si="5"/>
        <v>31638.888905462547</v>
      </c>
      <c r="O20" s="31">
        <f t="shared" si="5"/>
        <v>31797.083349989858</v>
      </c>
      <c r="P20" s="31">
        <f t="shared" si="5"/>
        <v>31956.068766739794</v>
      </c>
      <c r="Q20" s="31">
        <f t="shared" si="5"/>
        <v>32115.849110573494</v>
      </c>
      <c r="R20" s="31">
        <f t="shared" si="5"/>
        <v>32276.428356126355</v>
      </c>
      <c r="S20" s="31">
        <f t="shared" si="5"/>
        <v>32437.810497906983</v>
      </c>
      <c r="T20" s="31">
        <f t="shared" si="5"/>
        <v>32599.999550396511</v>
      </c>
      <c r="U20" s="31">
        <f t="shared" si="5"/>
        <v>32762.999548148491</v>
      </c>
      <c r="V20" s="31">
        <f t="shared" si="5"/>
        <v>32926.814545889232</v>
      </c>
      <c r="W20" s="31">
        <f t="shared" si="5"/>
        <v>33091.448618618662</v>
      </c>
      <c r="X20" s="31">
        <f>SUM(D20:W20)</f>
        <v>631462.81111766316</v>
      </c>
      <c r="Y20" s="26" t="s">
        <v>60</v>
      </c>
    </row>
    <row r="21" spans="1:25" ht="30" x14ac:dyDescent="0.25">
      <c r="C21" s="27" t="s">
        <v>77</v>
      </c>
      <c r="D21" s="31">
        <f>D20/(1.07)^2</f>
        <v>26290.149188683321</v>
      </c>
      <c r="E21" s="31">
        <f>E20/(1.07)^3</f>
        <v>24693.084051053029</v>
      </c>
      <c r="F21" s="31">
        <f>F20/(1.07)^4</f>
        <v>23193.036889073162</v>
      </c>
      <c r="G21" s="31">
        <f>G20/(1.07)^5</f>
        <v>21784.114087400489</v>
      </c>
      <c r="H21" s="31">
        <f>H20/(1.07)^6</f>
        <v>20460.780054053728</v>
      </c>
      <c r="I21" s="31">
        <f>I20/(1.07)^7</f>
        <v>19217.83547133084</v>
      </c>
      <c r="J21" s="31">
        <f>J20/(1.07)^8</f>
        <v>18050.396867932232</v>
      </c>
      <c r="K21" s="31">
        <f>K20/(1.07)^9</f>
        <v>16953.877432029803</v>
      </c>
      <c r="L21" s="31">
        <f>L20/(1.07)^10</f>
        <v>15923.968989897148</v>
      </c>
      <c r="M21" s="31">
        <f>M20/(1.07)^11</f>
        <v>14956.625079295916</v>
      </c>
      <c r="N21" s="31">
        <f>N20/(1.07)^12</f>
        <v>14048.045051114388</v>
      </c>
      <c r="O21" s="31">
        <f>O20/(1.07)^13</f>
        <v>13194.659136794353</v>
      </c>
      <c r="P21" s="31">
        <f>P20/(1.07)^14</f>
        <v>12393.114422876935</v>
      </c>
      <c r="Q21" s="31">
        <f>Q20/(1.07)^15</f>
        <v>11640.261677561979</v>
      </c>
      <c r="R21" s="31">
        <f>R20/(1.07)^16</f>
        <v>10933.142977523168</v>
      </c>
      <c r="S21" s="31">
        <f>S20/(1.07)^17</f>
        <v>10268.980086365216</v>
      </c>
      <c r="T21" s="31">
        <f>T20/(1.07)^18</f>
        <v>9645.1635390626543</v>
      </c>
      <c r="U21" s="31">
        <f>U20/(1.07)^19</f>
        <v>9059.2423894934273</v>
      </c>
      <c r="V21" s="31">
        <f>V20/(1.07)^20</f>
        <v>8508.9145807858822</v>
      </c>
      <c r="W21" s="31">
        <f>W20/(1.07)^21</f>
        <v>7992.0179006446797</v>
      </c>
      <c r="X21" s="31">
        <f>SUM(D21:W21)</f>
        <v>309207.40987297241</v>
      </c>
      <c r="Y21" s="27" t="s">
        <v>77</v>
      </c>
    </row>
    <row r="22" spans="1:25" ht="30" x14ac:dyDescent="0.25">
      <c r="C22" s="27" t="s">
        <v>78</v>
      </c>
      <c r="D22" s="31">
        <f>D20/(1.03)^2</f>
        <v>28371.752103047918</v>
      </c>
      <c r="E22" s="31">
        <f>E20/(1.03)^3</f>
        <v>27683.117343265203</v>
      </c>
      <c r="F22" s="31">
        <f>F20/(1.03)^4</f>
        <v>27011.197019399533</v>
      </c>
      <c r="G22" s="31">
        <f>G20/(1.03)^5</f>
        <v>26355.585441258765</v>
      </c>
      <c r="H22" s="31">
        <f>H20/(1.03)^6</f>
        <v>25715.886765500054</v>
      </c>
      <c r="I22" s="31">
        <f>I20/(1.03)^7</f>
        <v>25091.714756628691</v>
      </c>
      <c r="J22" s="31">
        <f>J20/(1.03)^8</f>
        <v>24482.692553797897</v>
      </c>
      <c r="K22" s="31">
        <f>K20/(1.03)^9</f>
        <v>23888.452443268819</v>
      </c>
      <c r="L22" s="31">
        <f>L20/(1.03)^10</f>
        <v>23308.635636393356</v>
      </c>
      <c r="M22" s="31">
        <f>M20/(1.03)^11</f>
        <v>22742.892052985746</v>
      </c>
      <c r="N22" s="31">
        <f>N20/(1.03)^12</f>
        <v>22190.880109952112</v>
      </c>
      <c r="O22" s="31">
        <f>O20/(1.03)^13</f>
        <v>21652.26651505036</v>
      </c>
      <c r="P22" s="31">
        <f>P20/(1.03)^14</f>
        <v>21126.726065655923</v>
      </c>
      <c r="Q22" s="31">
        <f>Q20/(1.03)^15</f>
        <v>20613.941452411847</v>
      </c>
      <c r="R22" s="31">
        <f>R20/(1.03)^16</f>
        <v>20113.603067644566</v>
      </c>
      <c r="S22" s="31">
        <f>S20/(1.03)^17</f>
        <v>19625.408818429893</v>
      </c>
      <c r="T22" s="31">
        <f>T20/(1.03)^18</f>
        <v>19149.063944196154</v>
      </c>
      <c r="U22" s="31">
        <f>U20/(1.03)^19</f>
        <v>18684.280838754497</v>
      </c>
      <c r="V22" s="31">
        <f>V20/(1.03)^20</f>
        <v>18230.778876648805</v>
      </c>
      <c r="W22" s="31">
        <f>W20/(1.03)^21</f>
        <v>17788.284243720431</v>
      </c>
      <c r="X22" s="31">
        <f>SUM(D22:W22)</f>
        <v>453827.16004801064</v>
      </c>
      <c r="Y22" s="26" t="s">
        <v>78</v>
      </c>
    </row>
    <row r="23" spans="1:25" x14ac:dyDescent="0.25">
      <c r="C23" s="34"/>
      <c r="D23" s="34"/>
      <c r="E23" s="34"/>
      <c r="F23" s="34"/>
      <c r="G23" s="34"/>
      <c r="H23" s="34"/>
      <c r="I23" s="34"/>
      <c r="J23" s="34"/>
      <c r="K23" s="34"/>
      <c r="L23" s="34"/>
      <c r="M23" s="34"/>
      <c r="N23" s="34"/>
      <c r="O23" s="34"/>
      <c r="P23" s="34"/>
      <c r="Q23" s="34"/>
      <c r="R23" s="34"/>
      <c r="S23" s="34"/>
      <c r="T23" s="34"/>
      <c r="U23" s="34"/>
      <c r="V23" s="34"/>
      <c r="W23" s="34"/>
      <c r="X23" s="22"/>
      <c r="Y23" s="21"/>
    </row>
    <row r="24" spans="1:25"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row>
    <row r="25" spans="1:25" ht="30" x14ac:dyDescent="0.25">
      <c r="A25" s="26" t="s">
        <v>0</v>
      </c>
      <c r="B25" s="26" t="s">
        <v>1</v>
      </c>
      <c r="C25" s="26" t="s">
        <v>8</v>
      </c>
      <c r="D25" s="26" t="s">
        <v>52</v>
      </c>
    </row>
    <row r="26" spans="1:25" x14ac:dyDescent="0.25">
      <c r="A26" s="29">
        <v>0</v>
      </c>
      <c r="B26" s="29" t="s">
        <v>10</v>
      </c>
      <c r="C26" s="30">
        <v>0</v>
      </c>
      <c r="D26" s="31">
        <f>C26*1.01</f>
        <v>0</v>
      </c>
    </row>
    <row r="27" spans="1:25" x14ac:dyDescent="0.25">
      <c r="A27" s="28">
        <v>1</v>
      </c>
      <c r="B27" s="28" t="s">
        <v>2</v>
      </c>
      <c r="C27" s="31">
        <v>27600</v>
      </c>
      <c r="D27" s="31">
        <f t="shared" ref="D27:D33" si="6">C27*1.01</f>
        <v>27876</v>
      </c>
    </row>
    <row r="28" spans="1:25" x14ac:dyDescent="0.25">
      <c r="A28" s="28">
        <v>2</v>
      </c>
      <c r="B28" s="28" t="s">
        <v>3</v>
      </c>
      <c r="C28" s="31">
        <v>432400</v>
      </c>
      <c r="D28" s="31">
        <f t="shared" si="6"/>
        <v>436724</v>
      </c>
    </row>
    <row r="29" spans="1:25" x14ac:dyDescent="0.25">
      <c r="A29" s="28">
        <v>3</v>
      </c>
      <c r="B29" s="28" t="s">
        <v>4</v>
      </c>
      <c r="C29" s="31">
        <v>966000</v>
      </c>
      <c r="D29" s="31">
        <f t="shared" si="6"/>
        <v>975660</v>
      </c>
    </row>
    <row r="30" spans="1:25" x14ac:dyDescent="0.25">
      <c r="A30" s="28">
        <v>4</v>
      </c>
      <c r="B30" s="28" t="s">
        <v>5</v>
      </c>
      <c r="C30" s="31">
        <v>2477200</v>
      </c>
      <c r="D30" s="31">
        <f t="shared" si="6"/>
        <v>2501972</v>
      </c>
    </row>
    <row r="31" spans="1:25" x14ac:dyDescent="0.25">
      <c r="A31" s="28">
        <v>5</v>
      </c>
      <c r="B31" s="28" t="s">
        <v>6</v>
      </c>
      <c r="C31" s="31">
        <v>5455600</v>
      </c>
      <c r="D31" s="31">
        <f t="shared" si="6"/>
        <v>5510156</v>
      </c>
    </row>
    <row r="32" spans="1:25" x14ac:dyDescent="0.25">
      <c r="A32" s="28">
        <v>6</v>
      </c>
      <c r="B32" s="28" t="s">
        <v>7</v>
      </c>
      <c r="C32" s="31">
        <v>9200000</v>
      </c>
      <c r="D32" s="31">
        <f t="shared" si="6"/>
        <v>9292000</v>
      </c>
    </row>
    <row r="33" spans="1:4" ht="30" x14ac:dyDescent="0.25">
      <c r="A33" s="28" t="s">
        <v>56</v>
      </c>
      <c r="B33" s="28" t="s">
        <v>54</v>
      </c>
      <c r="C33" s="31">
        <v>3927</v>
      </c>
      <c r="D33" s="31">
        <f t="shared" si="6"/>
        <v>3966.27</v>
      </c>
    </row>
    <row r="34" spans="1:4" x14ac:dyDescent="0.25">
      <c r="A34" s="23"/>
      <c r="B34" s="23"/>
      <c r="C34" s="34"/>
      <c r="D34" s="34"/>
    </row>
    <row r="35" spans="1:4" x14ac:dyDescent="0.25">
      <c r="A35" s="23"/>
      <c r="B35" s="23"/>
      <c r="C35" s="34"/>
      <c r="D35" s="34"/>
    </row>
    <row r="36" spans="1:4" x14ac:dyDescent="0.25">
      <c r="A36" s="66" t="s">
        <v>64</v>
      </c>
      <c r="B36" s="66"/>
      <c r="C36" s="24"/>
    </row>
    <row r="37" spans="1:4" x14ac:dyDescent="0.25">
      <c r="A37" s="67" t="s">
        <v>14</v>
      </c>
      <c r="B37" s="68">
        <v>5.0000000000000001E-3</v>
      </c>
      <c r="C37" s="24"/>
    </row>
    <row r="38" spans="1:4" x14ac:dyDescent="0.25">
      <c r="A38" s="67"/>
      <c r="B38" s="68"/>
      <c r="C38" s="24"/>
    </row>
    <row r="39" spans="1:4" x14ac:dyDescent="0.25">
      <c r="A39" s="33" t="s">
        <v>16</v>
      </c>
    </row>
    <row r="40" spans="1:4" x14ac:dyDescent="0.25">
      <c r="A40" s="33" t="s">
        <v>76</v>
      </c>
    </row>
    <row r="41" spans="1:4" x14ac:dyDescent="0.25">
      <c r="A41" s="33" t="s">
        <v>75</v>
      </c>
    </row>
  </sheetData>
  <mergeCells count="7">
    <mergeCell ref="A37:A38"/>
    <mergeCell ref="B37:B38"/>
    <mergeCell ref="A1:B1"/>
    <mergeCell ref="A5:W5"/>
    <mergeCell ref="A13:W13"/>
    <mergeCell ref="A24:D24"/>
    <mergeCell ref="A36:B3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8" workbookViewId="0">
      <selection activeCell="C20" sqref="C20:Y20"/>
    </sheetView>
  </sheetViews>
  <sheetFormatPr defaultColWidth="8.85546875" defaultRowHeight="15" x14ac:dyDescent="0.25"/>
  <cols>
    <col min="1" max="25" width="15.7109375" style="20" customWidth="1"/>
    <col min="26" max="16384" width="8.85546875" style="20"/>
  </cols>
  <sheetData>
    <row r="1" spans="1:23" x14ac:dyDescent="0.25">
      <c r="A1" s="66" t="s">
        <v>72</v>
      </c>
      <c r="B1" s="66"/>
    </row>
    <row r="2" spans="1:23" ht="30" x14ac:dyDescent="0.25">
      <c r="A2" s="26" t="s">
        <v>58</v>
      </c>
      <c r="B2" s="25" t="s">
        <v>66</v>
      </c>
    </row>
    <row r="3" spans="1:23" ht="45" x14ac:dyDescent="0.25">
      <c r="A3" s="26" t="s">
        <v>59</v>
      </c>
      <c r="B3" s="25">
        <v>1</v>
      </c>
    </row>
    <row r="5" spans="1:23" ht="14.45" customHeight="1" x14ac:dyDescent="0.25">
      <c r="A5" s="66" t="s">
        <v>62</v>
      </c>
      <c r="B5" s="66"/>
      <c r="C5" s="66"/>
      <c r="D5" s="66"/>
      <c r="E5" s="66"/>
      <c r="F5" s="66"/>
      <c r="G5" s="66"/>
      <c r="H5" s="66"/>
      <c r="I5" s="66"/>
      <c r="J5" s="66"/>
      <c r="K5" s="66"/>
      <c r="L5" s="66"/>
      <c r="M5" s="66"/>
      <c r="N5" s="66"/>
      <c r="O5" s="66"/>
      <c r="P5" s="66"/>
      <c r="Q5" s="66"/>
      <c r="R5" s="66"/>
      <c r="S5" s="66"/>
      <c r="T5" s="66"/>
      <c r="U5" s="66"/>
      <c r="V5" s="66"/>
      <c r="W5" s="66"/>
    </row>
    <row r="6" spans="1:23" ht="30" x14ac:dyDescent="0.25">
      <c r="A6" s="26" t="s">
        <v>9</v>
      </c>
      <c r="B6" s="26" t="s">
        <v>1</v>
      </c>
      <c r="C6" s="27" t="s">
        <v>51</v>
      </c>
      <c r="D6" s="26">
        <v>2017</v>
      </c>
      <c r="E6" s="26">
        <v>2018</v>
      </c>
      <c r="F6" s="26">
        <v>2019</v>
      </c>
      <c r="G6" s="26">
        <v>2020</v>
      </c>
      <c r="H6" s="26">
        <v>2021</v>
      </c>
      <c r="I6" s="26">
        <v>2022</v>
      </c>
      <c r="J6" s="26">
        <v>2023</v>
      </c>
      <c r="K6" s="26">
        <v>2024</v>
      </c>
      <c r="L6" s="26">
        <v>2025</v>
      </c>
      <c r="M6" s="26">
        <v>2026</v>
      </c>
      <c r="N6" s="26">
        <v>2027</v>
      </c>
      <c r="O6" s="26">
        <v>2028</v>
      </c>
      <c r="P6" s="26">
        <v>2029</v>
      </c>
      <c r="Q6" s="26">
        <v>2030</v>
      </c>
      <c r="R6" s="26">
        <v>2031</v>
      </c>
      <c r="S6" s="26">
        <v>2032</v>
      </c>
      <c r="T6" s="26">
        <v>2033</v>
      </c>
      <c r="U6" s="26">
        <v>2034</v>
      </c>
      <c r="V6" s="26">
        <v>2035</v>
      </c>
      <c r="W6" s="26">
        <v>2036</v>
      </c>
    </row>
    <row r="7" spans="1:23" x14ac:dyDescent="0.25">
      <c r="A7" s="28">
        <v>1</v>
      </c>
      <c r="B7" s="28" t="s">
        <v>13</v>
      </c>
      <c r="C7" s="25">
        <v>0.05</v>
      </c>
      <c r="D7" s="35">
        <f>$C7*(1+$B$37)^2*$B$3</f>
        <v>5.0501249999999991E-2</v>
      </c>
      <c r="E7" s="35">
        <f>$C7*(1+$B$37)^3*$B$3</f>
        <v>5.0753756249999983E-2</v>
      </c>
      <c r="F7" s="35">
        <f>$C7*(1+$B$37)^4*$B$3</f>
        <v>5.1007525031249973E-2</v>
      </c>
      <c r="G7" s="35">
        <f>$C7*(1+$B$37)^5*$B$3</f>
        <v>5.1262562656406212E-2</v>
      </c>
      <c r="H7" s="35">
        <f>$C7*(1+$B$37)^6*$B$3</f>
        <v>5.1518875469688231E-2</v>
      </c>
      <c r="I7" s="35">
        <f>$C7*(1+$B$37)^7*$B$3</f>
        <v>5.1776469847036669E-2</v>
      </c>
      <c r="J7" s="35">
        <f>$C7*(1+$B$37)^8*$B$3</f>
        <v>5.2035352196271846E-2</v>
      </c>
      <c r="K7" s="35">
        <f>$C7*(1+$B$37)^9*$B$3</f>
        <v>5.2295528957253201E-2</v>
      </c>
      <c r="L7" s="35">
        <f>$C7*(1+$B$37)^10*$B$3</f>
        <v>5.2557006602039463E-2</v>
      </c>
      <c r="M7" s="35">
        <f>$C7*(1+$B$37)^11*$B$3</f>
        <v>5.2819791635049657E-2</v>
      </c>
      <c r="N7" s="35">
        <f>$C7*(1+$B$37)^12*$B$3</f>
        <v>5.3083890593224881E-2</v>
      </c>
      <c r="O7" s="35">
        <f>$C7*(1+$B$37)^13*$B$3</f>
        <v>5.3349310046191006E-2</v>
      </c>
      <c r="P7" s="35">
        <f>$C7*(1+$B$37)^14*$B$3</f>
        <v>5.3616056596421949E-2</v>
      </c>
      <c r="Q7" s="35">
        <f>$C7*(1+$B$37)^15*$B$3</f>
        <v>5.3884136879404049E-2</v>
      </c>
      <c r="R7" s="35">
        <f>$C7*(1+$B$37)^16*$B$3</f>
        <v>5.4153557563801059E-2</v>
      </c>
      <c r="S7" s="35">
        <f>$C7*(1+$B$37)^17*$B$3</f>
        <v>5.4424325351620062E-2</v>
      </c>
      <c r="T7" s="35">
        <f>$C7*(1+$B$37)^18*$B$3</f>
        <v>5.4696446978378145E-2</v>
      </c>
      <c r="U7" s="35">
        <f>$C7*(1+$B$37)^19*$B$3</f>
        <v>5.4969929213270034E-2</v>
      </c>
      <c r="V7" s="35">
        <f>$C7*(1+$B$37)^20*$B$3</f>
        <v>5.5244778859336374E-2</v>
      </c>
      <c r="W7" s="35">
        <f>$C7*(1+$B$37)^21*$B$3</f>
        <v>5.5521002753633045E-2</v>
      </c>
    </row>
    <row r="8" spans="1:23" x14ac:dyDescent="0.25">
      <c r="A8" s="28">
        <v>2</v>
      </c>
      <c r="B8" s="28" t="s">
        <v>12</v>
      </c>
      <c r="C8" s="25">
        <v>0.1</v>
      </c>
      <c r="D8" s="35">
        <f>$C8*(1+$B$37)^2*$B$3</f>
        <v>0.10100249999999998</v>
      </c>
      <c r="E8" s="35">
        <f>$C8*(1+$B$37)^3*$B$3</f>
        <v>0.10150751249999997</v>
      </c>
      <c r="F8" s="35">
        <f>$C8*(1+$B$37)^4*$B$3</f>
        <v>0.10201505006249995</v>
      </c>
      <c r="G8" s="35">
        <f>$C8*(1+$B$37)^5*$B$3</f>
        <v>0.10252512531281242</v>
      </c>
      <c r="H8" s="35">
        <f>$C8*(1+$B$37)^6*$B$3</f>
        <v>0.10303775093937646</v>
      </c>
      <c r="I8" s="35">
        <f>$C8*(1+$B$37)^7*$B$3</f>
        <v>0.10355293969407334</v>
      </c>
      <c r="J8" s="35">
        <f>$C8*(1+$B$37)^8*$B$3</f>
        <v>0.10407070439254369</v>
      </c>
      <c r="K8" s="35">
        <f>$C8*(1+$B$37)^9*$B$3</f>
        <v>0.1045910579145064</v>
      </c>
      <c r="L8" s="35">
        <f>$C8*(1+$B$37)^10*$B$3</f>
        <v>0.10511401320407893</v>
      </c>
      <c r="M8" s="35">
        <f>$C8*(1+$B$37)^11*$B$3</f>
        <v>0.10563958327009931</v>
      </c>
      <c r="N8" s="35">
        <f>$C8*(1+$B$37)^12*$B$3</f>
        <v>0.10616778118644976</v>
      </c>
      <c r="O8" s="35">
        <f>$C8*(1+$B$37)^13*$B$3</f>
        <v>0.10669862009238201</v>
      </c>
      <c r="P8" s="35">
        <f>$C8*(1+$B$37)^14*$B$3</f>
        <v>0.1072321131928439</v>
      </c>
      <c r="Q8" s="35">
        <f>$C8*(1+$B$37)^15*$B$3</f>
        <v>0.1077682737588081</v>
      </c>
      <c r="R8" s="35">
        <f>$C8*(1+$B$37)^16*$B$3</f>
        <v>0.10830711512760212</v>
      </c>
      <c r="S8" s="35">
        <f>$C8*(1+$B$37)^17*$B$3</f>
        <v>0.10884865070324012</v>
      </c>
      <c r="T8" s="35">
        <f>$C8*(1+$B$37)^18*$B$3</f>
        <v>0.10939289395675629</v>
      </c>
      <c r="U8" s="35">
        <f>$C8*(1+$B$37)^19*$B$3</f>
        <v>0.10993985842654007</v>
      </c>
      <c r="V8" s="35">
        <f>$C8*(1+$B$37)^20*$B$3</f>
        <v>0.11048955771867275</v>
      </c>
      <c r="W8" s="35">
        <f>$C8*(1+$B$37)^21*$B$3</f>
        <v>0.11104200550726609</v>
      </c>
    </row>
    <row r="9" spans="1:23" ht="30" x14ac:dyDescent="0.25">
      <c r="A9" s="28">
        <v>3</v>
      </c>
      <c r="B9" s="28" t="s">
        <v>53</v>
      </c>
      <c r="C9" s="25">
        <v>0.1</v>
      </c>
      <c r="D9" s="35">
        <f>$C9*(1+$B$37)^2*$B$3</f>
        <v>0.10100249999999998</v>
      </c>
      <c r="E9" s="35">
        <f>$C9*(1+$B$37)^3*$B$3</f>
        <v>0.10150751249999997</v>
      </c>
      <c r="F9" s="35">
        <f>$C9*(1+$B$37)^4*$B$3</f>
        <v>0.10201505006249995</v>
      </c>
      <c r="G9" s="35">
        <f>$C9*(1+$B$37)^5*$B$3</f>
        <v>0.10252512531281242</v>
      </c>
      <c r="H9" s="35">
        <f>$C9*(1+$B$37)^6*$B$3</f>
        <v>0.10303775093937646</v>
      </c>
      <c r="I9" s="35">
        <f>$C9*(1+$B$37)^7*$B$3</f>
        <v>0.10355293969407334</v>
      </c>
      <c r="J9" s="35">
        <f>$C9*(1+$B$37)^8*$B$3</f>
        <v>0.10407070439254369</v>
      </c>
      <c r="K9" s="35">
        <f>$C9*(1+$B$37)^9*$B$3</f>
        <v>0.1045910579145064</v>
      </c>
      <c r="L9" s="35">
        <f>$C9*(1+$B$37)^10*$B$3</f>
        <v>0.10511401320407893</v>
      </c>
      <c r="M9" s="35">
        <f>$C9*(1+$B$37)^11*$B$3</f>
        <v>0.10563958327009931</v>
      </c>
      <c r="N9" s="35">
        <f>$C9*(1+$B$37)^12*$B$3</f>
        <v>0.10616778118644976</v>
      </c>
      <c r="O9" s="35">
        <f>$C9*(1+$B$37)^13*$B$3</f>
        <v>0.10669862009238201</v>
      </c>
      <c r="P9" s="35">
        <f>$C9*(1+$B$37)^14*$B$3</f>
        <v>0.1072321131928439</v>
      </c>
      <c r="Q9" s="35">
        <f>$C9*(1+$B$37)^15*$B$3</f>
        <v>0.1077682737588081</v>
      </c>
      <c r="R9" s="35">
        <f>$C9*(1+$B$37)^16*$B$3</f>
        <v>0.10830711512760212</v>
      </c>
      <c r="S9" s="35">
        <f>$C9*(1+$B$37)^17*$B$3</f>
        <v>0.10884865070324012</v>
      </c>
      <c r="T9" s="35">
        <f>$C9*(1+$B$37)^18*$B$3</f>
        <v>0.10939289395675629</v>
      </c>
      <c r="U9" s="35">
        <f>$C9*(1+$B$37)^19*$B$3</f>
        <v>0.10993985842654007</v>
      </c>
      <c r="V9" s="35">
        <f>$C9*(1+$B$37)^20*$B$3</f>
        <v>0.11048955771867275</v>
      </c>
      <c r="W9" s="35">
        <f>$C9*(1+$B$37)^21*$B$3</f>
        <v>0.11104200550726609</v>
      </c>
    </row>
    <row r="10" spans="1:23" x14ac:dyDescent="0.25">
      <c r="A10" s="28">
        <v>4</v>
      </c>
      <c r="B10" s="28" t="s">
        <v>11</v>
      </c>
      <c r="C10" s="25">
        <v>0.1</v>
      </c>
      <c r="D10" s="35">
        <f>$C10*(1+$B$37)^2*$B$3</f>
        <v>0.10100249999999998</v>
      </c>
      <c r="E10" s="35">
        <f>$C10*(1+$B$37)^3*$B$3</f>
        <v>0.10150751249999997</v>
      </c>
      <c r="F10" s="35">
        <f>$C10*(1+$B$37)^4*$B$3</f>
        <v>0.10201505006249995</v>
      </c>
      <c r="G10" s="35">
        <f>$C10*(1+$B$37)^5*$B$3</f>
        <v>0.10252512531281242</v>
      </c>
      <c r="H10" s="35">
        <f>$C10*(1+$B$37)^6*$B$3</f>
        <v>0.10303775093937646</v>
      </c>
      <c r="I10" s="35">
        <f>$C10*(1+$B$37)^7*$B$3</f>
        <v>0.10355293969407334</v>
      </c>
      <c r="J10" s="35">
        <f>$C10*(1+$B$37)^8*$B$3</f>
        <v>0.10407070439254369</v>
      </c>
      <c r="K10" s="35">
        <f>$C10*(1+$B$37)^9*$B$3</f>
        <v>0.1045910579145064</v>
      </c>
      <c r="L10" s="35">
        <f>$C10*(1+$B$37)^10*$B$3</f>
        <v>0.10511401320407893</v>
      </c>
      <c r="M10" s="35">
        <f>$C10*(1+$B$37)^11*$B$3</f>
        <v>0.10563958327009931</v>
      </c>
      <c r="N10" s="35">
        <f>$C10*(1+$B$37)^12*$B$3</f>
        <v>0.10616778118644976</v>
      </c>
      <c r="O10" s="35">
        <f>$C10*(1+$B$37)^13*$B$3</f>
        <v>0.10669862009238201</v>
      </c>
      <c r="P10" s="35">
        <f>$C10*(1+$B$37)^14*$B$3</f>
        <v>0.1072321131928439</v>
      </c>
      <c r="Q10" s="35">
        <f>$C10*(1+$B$37)^15*$B$3</f>
        <v>0.1077682737588081</v>
      </c>
      <c r="R10" s="35">
        <f>$C10*(1+$B$37)^16*$B$3</f>
        <v>0.10830711512760212</v>
      </c>
      <c r="S10" s="35">
        <f>$C10*(1+$B$37)^17*$B$3</f>
        <v>0.10884865070324012</v>
      </c>
      <c r="T10" s="35">
        <f>$C10*(1+$B$37)^18*$B$3</f>
        <v>0.10939289395675629</v>
      </c>
      <c r="U10" s="35">
        <f>$C10*(1+$B$37)^19*$B$3</f>
        <v>0.10993985842654007</v>
      </c>
      <c r="V10" s="35">
        <f>$C10*(1+$B$37)^20*$B$3</f>
        <v>0.11048955771867275</v>
      </c>
      <c r="W10" s="35">
        <f>$C10*(1+$B$37)^21*$B$3</f>
        <v>0.11104200550726609</v>
      </c>
    </row>
    <row r="11" spans="1:23" ht="45" x14ac:dyDescent="0.25">
      <c r="A11" s="28">
        <v>5</v>
      </c>
      <c r="B11" s="28" t="s">
        <v>55</v>
      </c>
      <c r="C11" s="25">
        <v>0.1</v>
      </c>
      <c r="D11" s="35">
        <f>$C11*(1+$B$37)^2*$B$3</f>
        <v>0.10100249999999998</v>
      </c>
      <c r="E11" s="35">
        <f>$C11*(1+$B$37)^3*$B$3</f>
        <v>0.10150751249999997</v>
      </c>
      <c r="F11" s="35">
        <f>$C11*(1+$B$37)^4*$B$3</f>
        <v>0.10201505006249995</v>
      </c>
      <c r="G11" s="35">
        <f>$C11*(1+$B$37)^5*$B$3</f>
        <v>0.10252512531281242</v>
      </c>
      <c r="H11" s="35">
        <f>$C11*(1+$B$37)^6*$B$3</f>
        <v>0.10303775093937646</v>
      </c>
      <c r="I11" s="35">
        <f>$C11*(1+$B$37)^7*$B$3</f>
        <v>0.10355293969407334</v>
      </c>
      <c r="J11" s="35">
        <f>$C11*(1+$B$37)^8*$B$3</f>
        <v>0.10407070439254369</v>
      </c>
      <c r="K11" s="35">
        <f>$C11*(1+$B$37)^9*$B$3</f>
        <v>0.1045910579145064</v>
      </c>
      <c r="L11" s="35">
        <f>$C11*(1+$B$37)^10*$B$3</f>
        <v>0.10511401320407893</v>
      </c>
      <c r="M11" s="35">
        <f>$C11*(1+$B$37)^11*$B$3</f>
        <v>0.10563958327009931</v>
      </c>
      <c r="N11" s="35">
        <f>$C11*(1+$B$37)^12*$B$3</f>
        <v>0.10616778118644976</v>
      </c>
      <c r="O11" s="35">
        <f>$C11*(1+$B$37)^13*$B$3</f>
        <v>0.10669862009238201</v>
      </c>
      <c r="P11" s="35">
        <f>$C11*(1+$B$37)^14*$B$3</f>
        <v>0.1072321131928439</v>
      </c>
      <c r="Q11" s="35">
        <f>$C11*(1+$B$37)^15*$B$3</f>
        <v>0.1077682737588081</v>
      </c>
      <c r="R11" s="35">
        <f>$C11*(1+$B$37)^16*$B$3</f>
        <v>0.10830711512760212</v>
      </c>
      <c r="S11" s="35">
        <f>$C11*(1+$B$37)^17*$B$3</f>
        <v>0.10884865070324012</v>
      </c>
      <c r="T11" s="35">
        <f>$C11*(1+$B$37)^18*$B$3</f>
        <v>0.10939289395675629</v>
      </c>
      <c r="U11" s="35">
        <f>$C11*(1+$B$37)^19*$B$3</f>
        <v>0.10993985842654007</v>
      </c>
      <c r="V11" s="35">
        <f>$C11*(1+$B$37)^20*$B$3</f>
        <v>0.11048955771867275</v>
      </c>
      <c r="W11" s="35">
        <f>$C11*(1+$B$37)^21*$B$3</f>
        <v>0.11104200550726609</v>
      </c>
    </row>
    <row r="13" spans="1:23" ht="14.45" customHeight="1"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row>
    <row r="14" spans="1:23" ht="30" x14ac:dyDescent="0.25">
      <c r="A14" s="26" t="s">
        <v>9</v>
      </c>
      <c r="B14" s="26" t="s">
        <v>1</v>
      </c>
      <c r="C14" s="26" t="s">
        <v>57</v>
      </c>
      <c r="D14" s="26">
        <v>2017</v>
      </c>
      <c r="E14" s="26">
        <v>2018</v>
      </c>
      <c r="F14" s="26">
        <v>2019</v>
      </c>
      <c r="G14" s="26">
        <v>2020</v>
      </c>
      <c r="H14" s="26">
        <v>2021</v>
      </c>
      <c r="I14" s="26">
        <v>2022</v>
      </c>
      <c r="J14" s="26">
        <v>2023</v>
      </c>
      <c r="K14" s="26">
        <v>2024</v>
      </c>
      <c r="L14" s="26">
        <v>2025</v>
      </c>
      <c r="M14" s="26">
        <v>2026</v>
      </c>
      <c r="N14" s="26">
        <v>2027</v>
      </c>
      <c r="O14" s="26">
        <v>2028</v>
      </c>
      <c r="P14" s="26">
        <v>2029</v>
      </c>
      <c r="Q14" s="26">
        <v>2030</v>
      </c>
      <c r="R14" s="26">
        <v>2031</v>
      </c>
      <c r="S14" s="26">
        <v>2032</v>
      </c>
      <c r="T14" s="26">
        <v>2033</v>
      </c>
      <c r="U14" s="26">
        <v>2034</v>
      </c>
      <c r="V14" s="26">
        <v>2035</v>
      </c>
      <c r="W14" s="26">
        <v>2036</v>
      </c>
    </row>
    <row r="15" spans="1:23" x14ac:dyDescent="0.25">
      <c r="A15" s="28">
        <v>1</v>
      </c>
      <c r="B15" s="28" t="s">
        <v>13</v>
      </c>
      <c r="C15" s="31">
        <f>D32</f>
        <v>9292000</v>
      </c>
      <c r="D15" s="31">
        <f t="shared" ref="D15:W15" si="0">D$7*$C$15</f>
        <v>469257.61499999993</v>
      </c>
      <c r="E15" s="31">
        <f t="shared" si="0"/>
        <v>471603.90307499986</v>
      </c>
      <c r="F15" s="31">
        <f t="shared" si="0"/>
        <v>473961.92259037477</v>
      </c>
      <c r="G15" s="31">
        <f t="shared" si="0"/>
        <v>476331.73220332654</v>
      </c>
      <c r="H15" s="31">
        <f t="shared" si="0"/>
        <v>478713.39086434303</v>
      </c>
      <c r="I15" s="31">
        <f t="shared" si="0"/>
        <v>481106.95781866473</v>
      </c>
      <c r="J15" s="31">
        <f t="shared" si="0"/>
        <v>483512.49260775797</v>
      </c>
      <c r="K15" s="31">
        <f t="shared" si="0"/>
        <v>485930.05507079675</v>
      </c>
      <c r="L15" s="31">
        <f t="shared" si="0"/>
        <v>488359.70534615067</v>
      </c>
      <c r="M15" s="31">
        <f t="shared" si="0"/>
        <v>490801.50387288141</v>
      </c>
      <c r="N15" s="31">
        <f t="shared" si="0"/>
        <v>493255.51139224559</v>
      </c>
      <c r="O15" s="31">
        <f t="shared" si="0"/>
        <v>495721.78894920682</v>
      </c>
      <c r="P15" s="31">
        <f t="shared" si="0"/>
        <v>498200.39789395273</v>
      </c>
      <c r="Q15" s="31">
        <f t="shared" si="0"/>
        <v>500691.39988342242</v>
      </c>
      <c r="R15" s="31">
        <f t="shared" si="0"/>
        <v>503194.85688283946</v>
      </c>
      <c r="S15" s="31">
        <f t="shared" si="0"/>
        <v>505710.83116725361</v>
      </c>
      <c r="T15" s="31">
        <f t="shared" si="0"/>
        <v>508239.38532308972</v>
      </c>
      <c r="U15" s="31">
        <f t="shared" si="0"/>
        <v>510780.58224970516</v>
      </c>
      <c r="V15" s="31">
        <f t="shared" si="0"/>
        <v>513334.4851609536</v>
      </c>
      <c r="W15" s="31">
        <f t="shared" si="0"/>
        <v>515901.15758675826</v>
      </c>
    </row>
    <row r="16" spans="1:23" x14ac:dyDescent="0.25">
      <c r="A16" s="28">
        <v>2</v>
      </c>
      <c r="B16" s="28" t="s">
        <v>12</v>
      </c>
      <c r="C16" s="31">
        <f>0.03437*D26+0.55449*D27+0.20908*D28+0.14437*D29+0.03986*D30+0.01783*D31+0*D32</f>
        <v>445597.93676000001</v>
      </c>
      <c r="D16" s="31">
        <f t="shared" ref="D16:W16" si="1">D$8*$C$16</f>
        <v>45006.505607601895</v>
      </c>
      <c r="E16" s="31">
        <f t="shared" si="1"/>
        <v>45231.538135639894</v>
      </c>
      <c r="F16" s="31">
        <f t="shared" si="1"/>
        <v>45457.695826318086</v>
      </c>
      <c r="G16" s="31">
        <f t="shared" si="1"/>
        <v>45684.984305449667</v>
      </c>
      <c r="H16" s="31">
        <f t="shared" si="1"/>
        <v>45913.409226976903</v>
      </c>
      <c r="I16" s="31">
        <f t="shared" si="1"/>
        <v>46142.976273111788</v>
      </c>
      <c r="J16" s="31">
        <f t="shared" si="1"/>
        <v>46373.691154477339</v>
      </c>
      <c r="K16" s="31">
        <f t="shared" si="1"/>
        <v>46605.559610249722</v>
      </c>
      <c r="L16" s="31">
        <f t="shared" si="1"/>
        <v>46838.587408300969</v>
      </c>
      <c r="M16" s="31">
        <f t="shared" si="1"/>
        <v>47072.780345342471</v>
      </c>
      <c r="N16" s="31">
        <f t="shared" si="1"/>
        <v>47308.144247069162</v>
      </c>
      <c r="O16" s="31">
        <f t="shared" si="1"/>
        <v>47544.684968304507</v>
      </c>
      <c r="P16" s="31">
        <f t="shared" si="1"/>
        <v>47782.408393146019</v>
      </c>
      <c r="Q16" s="31">
        <f t="shared" si="1"/>
        <v>48021.320435111738</v>
      </c>
      <c r="R16" s="31">
        <f t="shared" si="1"/>
        <v>48261.427037287292</v>
      </c>
      <c r="S16" s="31">
        <f t="shared" si="1"/>
        <v>48502.734172473727</v>
      </c>
      <c r="T16" s="31">
        <f t="shared" si="1"/>
        <v>48745.247843336074</v>
      </c>
      <c r="U16" s="31">
        <f t="shared" si="1"/>
        <v>48988.974082552755</v>
      </c>
      <c r="V16" s="31">
        <f t="shared" si="1"/>
        <v>49233.918952965512</v>
      </c>
      <c r="W16" s="31">
        <f t="shared" si="1"/>
        <v>49480.088547730331</v>
      </c>
    </row>
    <row r="17" spans="1:25" ht="30" x14ac:dyDescent="0.25">
      <c r="A17" s="28">
        <v>3</v>
      </c>
      <c r="B17" s="28" t="s">
        <v>53</v>
      </c>
      <c r="C17" s="31">
        <f>0.08347*D26+0.76843*D27+0.10898*D28+0.03191*D29+0.0062*D30+0.00101*D31+0*D32</f>
        <v>121225.73075999999</v>
      </c>
      <c r="D17" s="31">
        <f t="shared" ref="D17:W17" si="2">D$9*$C$17</f>
        <v>12244.101871086898</v>
      </c>
      <c r="E17" s="31">
        <f t="shared" si="2"/>
        <v>12305.322380442329</v>
      </c>
      <c r="F17" s="31">
        <f t="shared" si="2"/>
        <v>12366.84899234454</v>
      </c>
      <c r="G17" s="31">
        <f t="shared" si="2"/>
        <v>12428.683237306259</v>
      </c>
      <c r="H17" s="31">
        <f t="shared" si="2"/>
        <v>12490.826653492788</v>
      </c>
      <c r="I17" s="31">
        <f t="shared" si="2"/>
        <v>12553.28078676025</v>
      </c>
      <c r="J17" s="31">
        <f t="shared" si="2"/>
        <v>12616.047190694049</v>
      </c>
      <c r="K17" s="31">
        <f t="shared" si="2"/>
        <v>12679.127426647519</v>
      </c>
      <c r="L17" s="31">
        <f t="shared" si="2"/>
        <v>12742.523063780756</v>
      </c>
      <c r="M17" s="31">
        <f t="shared" si="2"/>
        <v>12806.235679099658</v>
      </c>
      <c r="N17" s="31">
        <f t="shared" si="2"/>
        <v>12870.266857495151</v>
      </c>
      <c r="O17" s="31">
        <f t="shared" si="2"/>
        <v>12934.618191782627</v>
      </c>
      <c r="P17" s="31">
        <f t="shared" si="2"/>
        <v>12999.291282741537</v>
      </c>
      <c r="Q17" s="31">
        <f t="shared" si="2"/>
        <v>13064.287739155243</v>
      </c>
      <c r="R17" s="31">
        <f t="shared" si="2"/>
        <v>13129.609177851016</v>
      </c>
      <c r="S17" s="31">
        <f t="shared" si="2"/>
        <v>13195.257223740271</v>
      </c>
      <c r="T17" s="31">
        <f t="shared" si="2"/>
        <v>13261.233509858968</v>
      </c>
      <c r="U17" s="31">
        <f t="shared" si="2"/>
        <v>13327.539677408262</v>
      </c>
      <c r="V17" s="31">
        <f t="shared" si="2"/>
        <v>13394.177375795301</v>
      </c>
      <c r="W17" s="31">
        <f t="shared" si="2"/>
        <v>13461.148262674275</v>
      </c>
    </row>
    <row r="18" spans="1:25" x14ac:dyDescent="0.25">
      <c r="A18" s="28">
        <v>4</v>
      </c>
      <c r="B18" s="28" t="s">
        <v>11</v>
      </c>
      <c r="C18" s="31">
        <f>0.23437*D26+0.68946*D27+0.06391*D28+0.01071*D29+0.00142*D30+0.00013*D31+0*D32</f>
        <v>61848.856919999991</v>
      </c>
      <c r="D18" s="31">
        <f t="shared" ref="D18:W18" si="3">D$10*$C$18</f>
        <v>6246.8891710622984</v>
      </c>
      <c r="E18" s="31">
        <f t="shared" si="3"/>
        <v>6278.1236169176082</v>
      </c>
      <c r="F18" s="31">
        <f t="shared" si="3"/>
        <v>6309.5142350021952</v>
      </c>
      <c r="G18" s="31">
        <f t="shared" si="3"/>
        <v>6341.0618061772047</v>
      </c>
      <c r="H18" s="31">
        <f t="shared" si="3"/>
        <v>6372.7671152080893</v>
      </c>
      <c r="I18" s="31">
        <f t="shared" si="3"/>
        <v>6404.6309507841297</v>
      </c>
      <c r="J18" s="31">
        <f t="shared" si="3"/>
        <v>6436.6541055380494</v>
      </c>
      <c r="K18" s="31">
        <f t="shared" si="3"/>
        <v>6468.8373760657396</v>
      </c>
      <c r="L18" s="31">
        <f t="shared" si="3"/>
        <v>6501.1815629460671</v>
      </c>
      <c r="M18" s="31">
        <f t="shared" si="3"/>
        <v>6533.6874707607976</v>
      </c>
      <c r="N18" s="31">
        <f t="shared" si="3"/>
        <v>6566.3559081145986</v>
      </c>
      <c r="O18" s="31">
        <f t="shared" si="3"/>
        <v>6599.1876876551714</v>
      </c>
      <c r="P18" s="31">
        <f t="shared" si="3"/>
        <v>6632.183626093446</v>
      </c>
      <c r="Q18" s="31">
        <f t="shared" si="3"/>
        <v>6665.3445442239117</v>
      </c>
      <c r="R18" s="31">
        <f t="shared" si="3"/>
        <v>6698.6712669450299</v>
      </c>
      <c r="S18" s="31">
        <f t="shared" si="3"/>
        <v>6732.1646232797548</v>
      </c>
      <c r="T18" s="31">
        <f t="shared" si="3"/>
        <v>6765.8254463961512</v>
      </c>
      <c r="U18" s="31">
        <f t="shared" si="3"/>
        <v>6799.6545736281323</v>
      </c>
      <c r="V18" s="31">
        <f t="shared" si="3"/>
        <v>6833.6528464962712</v>
      </c>
      <c r="W18" s="31">
        <f t="shared" si="3"/>
        <v>6867.8211107287516</v>
      </c>
    </row>
    <row r="19" spans="1:25" ht="45" x14ac:dyDescent="0.25">
      <c r="A19" s="28">
        <v>5</v>
      </c>
      <c r="B19" s="28" t="s">
        <v>55</v>
      </c>
      <c r="C19" s="31">
        <f>0.92534*D26+0.07257*D27+0.00198*D28+0.00008*D29+0*D30+0.00003*D31+0*D32</f>
        <v>3131.0323199999998</v>
      </c>
      <c r="D19" s="31">
        <f t="shared" ref="D19:W19" si="4">D$11*$C$19</f>
        <v>316.24209190079995</v>
      </c>
      <c r="E19" s="31">
        <f t="shared" si="4"/>
        <v>317.8233023603039</v>
      </c>
      <c r="F19" s="31">
        <f t="shared" si="4"/>
        <v>319.41241887210532</v>
      </c>
      <c r="G19" s="31">
        <f t="shared" si="4"/>
        <v>321.00948096646579</v>
      </c>
      <c r="H19" s="31">
        <f t="shared" si="4"/>
        <v>322.61452837129804</v>
      </c>
      <c r="I19" s="31">
        <f t="shared" si="4"/>
        <v>324.22760101315453</v>
      </c>
      <c r="J19" s="31">
        <f t="shared" si="4"/>
        <v>325.84873901822027</v>
      </c>
      <c r="K19" s="31">
        <f t="shared" si="4"/>
        <v>327.47798271331135</v>
      </c>
      <c r="L19" s="31">
        <f t="shared" si="4"/>
        <v>329.11537262687784</v>
      </c>
      <c r="M19" s="31">
        <f t="shared" si="4"/>
        <v>330.76094949001219</v>
      </c>
      <c r="N19" s="31">
        <f t="shared" si="4"/>
        <v>332.41475423746215</v>
      </c>
      <c r="O19" s="31">
        <f t="shared" si="4"/>
        <v>334.07682800864944</v>
      </c>
      <c r="P19" s="31">
        <f t="shared" si="4"/>
        <v>335.7472121486926</v>
      </c>
      <c r="Q19" s="31">
        <f t="shared" si="4"/>
        <v>337.425948209436</v>
      </c>
      <c r="R19" s="31">
        <f t="shared" si="4"/>
        <v>339.11307795048316</v>
      </c>
      <c r="S19" s="31">
        <f t="shared" si="4"/>
        <v>340.80864334023556</v>
      </c>
      <c r="T19" s="31">
        <f t="shared" si="4"/>
        <v>342.51268655693661</v>
      </c>
      <c r="U19" s="31">
        <f t="shared" si="4"/>
        <v>344.22524998972131</v>
      </c>
      <c r="V19" s="31">
        <f t="shared" si="4"/>
        <v>345.9463762396698</v>
      </c>
      <c r="W19" s="31">
        <f t="shared" si="4"/>
        <v>347.67610812086809</v>
      </c>
      <c r="X19" s="26" t="s">
        <v>61</v>
      </c>
    </row>
    <row r="20" spans="1:25" ht="30" x14ac:dyDescent="0.25">
      <c r="C20" s="27" t="s">
        <v>60</v>
      </c>
      <c r="D20" s="31">
        <f>SUM(D15:D19)</f>
        <v>533071.35374165175</v>
      </c>
      <c r="E20" s="31">
        <f t="shared" ref="E20:W20" si="5">SUM(E15:E19)</f>
        <v>535736.71051035996</v>
      </c>
      <c r="F20" s="31">
        <f t="shared" si="5"/>
        <v>538415.39406291174</v>
      </c>
      <c r="G20" s="31">
        <f t="shared" si="5"/>
        <v>541107.47103322623</v>
      </c>
      <c r="H20" s="31">
        <f t="shared" si="5"/>
        <v>543813.00838839205</v>
      </c>
      <c r="I20" s="31">
        <f t="shared" si="5"/>
        <v>546532.07343033399</v>
      </c>
      <c r="J20" s="31">
        <f t="shared" si="5"/>
        <v>549264.73379748559</v>
      </c>
      <c r="K20" s="31">
        <f t="shared" si="5"/>
        <v>552011.05746647296</v>
      </c>
      <c r="L20" s="31">
        <f t="shared" si="5"/>
        <v>554771.11275380536</v>
      </c>
      <c r="M20" s="31">
        <f t="shared" si="5"/>
        <v>557544.96831757436</v>
      </c>
      <c r="N20" s="31">
        <f t="shared" si="5"/>
        <v>560332.69315916207</v>
      </c>
      <c r="O20" s="31">
        <f t="shared" si="5"/>
        <v>563134.35662495776</v>
      </c>
      <c r="P20" s="31">
        <f t="shared" si="5"/>
        <v>565950.02840808255</v>
      </c>
      <c r="Q20" s="31">
        <f t="shared" si="5"/>
        <v>568779.77855012275</v>
      </c>
      <c r="R20" s="31">
        <f t="shared" si="5"/>
        <v>571623.67744287325</v>
      </c>
      <c r="S20" s="31">
        <f t="shared" si="5"/>
        <v>574481.7958300875</v>
      </c>
      <c r="T20" s="31">
        <f t="shared" si="5"/>
        <v>577354.20480923774</v>
      </c>
      <c r="U20" s="31">
        <f t="shared" si="5"/>
        <v>580240.97583328409</v>
      </c>
      <c r="V20" s="31">
        <f t="shared" si="5"/>
        <v>583142.18071245041</v>
      </c>
      <c r="W20" s="31">
        <f t="shared" si="5"/>
        <v>586057.89161601244</v>
      </c>
      <c r="X20" s="31">
        <f>SUM(D20:W20)</f>
        <v>11183365.466488484</v>
      </c>
      <c r="Y20" s="26" t="s">
        <v>60</v>
      </c>
    </row>
    <row r="21" spans="1:25" ht="30" x14ac:dyDescent="0.25">
      <c r="C21" s="27" t="s">
        <v>77</v>
      </c>
      <c r="D21" s="31">
        <f>D20/(1.07)^2</f>
        <v>465605.16529098764</v>
      </c>
      <c r="E21" s="31">
        <f>E20/(1.07)^3</f>
        <v>437320.73936209577</v>
      </c>
      <c r="F21" s="31">
        <f>F20/(1.07)^4</f>
        <v>410754.52622327692</v>
      </c>
      <c r="G21" s="31">
        <f>G20/(1.07)^5</f>
        <v>385802.14846204972</v>
      </c>
      <c r="H21" s="31">
        <f>H20/(1.07)^6</f>
        <v>362365.56934986892</v>
      </c>
      <c r="I21" s="31">
        <f>I20/(1.07)^7</f>
        <v>340352.70766039088</v>
      </c>
      <c r="J21" s="31">
        <f>J20/(1.07)^8</f>
        <v>319677.07588662877</v>
      </c>
      <c r="K21" s="31">
        <f>K20/(1.07)^9</f>
        <v>300257.44043557183</v>
      </c>
      <c r="L21" s="31">
        <f>L20/(1.07)^10</f>
        <v>282017.50246518664</v>
      </c>
      <c r="M21" s="31">
        <f>M20/(1.07)^11</f>
        <v>264885.59810982482</v>
      </c>
      <c r="N21" s="31">
        <f>N20/(1.07)^12</f>
        <v>248794.4169162373</v>
      </c>
      <c r="O21" s="31">
        <f>O20/(1.07)^13</f>
        <v>233680.73738394244</v>
      </c>
      <c r="P21" s="31">
        <f>P20/(1.07)^14</f>
        <v>219485.17857089921</v>
      </c>
      <c r="Q21" s="31">
        <f>Q20/(1.07)^15</f>
        <v>206151.96678855477</v>
      </c>
      <c r="R21" s="31">
        <f>R20/(1.07)^16</f>
        <v>193628.71646962388</v>
      </c>
      <c r="S21" s="31">
        <f>S20/(1.07)^17</f>
        <v>181866.22434763733</v>
      </c>
      <c r="T21" s="31">
        <f>T20/(1.07)^18</f>
        <v>170818.27613960323</v>
      </c>
      <c r="U21" s="31">
        <f>U20/(1.07)^19</f>
        <v>160441.4649722442</v>
      </c>
      <c r="V21" s="31">
        <f>V20/(1.07)^20</f>
        <v>150695.02083841624</v>
      </c>
      <c r="W21" s="31">
        <f>W20/(1.07)^21</f>
        <v>141540.65041365259</v>
      </c>
      <c r="X21" s="31">
        <f>SUM(D21:W21)</f>
        <v>5476141.1260866933</v>
      </c>
      <c r="Y21" s="27" t="s">
        <v>77</v>
      </c>
    </row>
    <row r="22" spans="1:25" ht="30" x14ac:dyDescent="0.25">
      <c r="C22" s="27" t="s">
        <v>78</v>
      </c>
      <c r="D22" s="31">
        <f>D20/(1.03)^2</f>
        <v>502470.87731327343</v>
      </c>
      <c r="E22" s="31">
        <f>E20/(1.03)^3</f>
        <v>490274.98223285412</v>
      </c>
      <c r="F22" s="31">
        <f>F20/(1.03)^4</f>
        <v>478375.1040233188</v>
      </c>
      <c r="G22" s="31">
        <f>G20/(1.03)^5</f>
        <v>466764.05780916056</v>
      </c>
      <c r="H22" s="31">
        <f>H20/(1.03)^6</f>
        <v>455434.83310505445</v>
      </c>
      <c r="I22" s="31">
        <f>I20/(1.03)^7</f>
        <v>444380.58958308707</v>
      </c>
      <c r="J22" s="31">
        <f>J20/(1.03)^8</f>
        <v>433594.65294272086</v>
      </c>
      <c r="K22" s="31">
        <f>K20/(1.03)^9</f>
        <v>423070.51088100427</v>
      </c>
      <c r="L22" s="31">
        <f>L20/(1.03)^10</f>
        <v>412801.80916059157</v>
      </c>
      <c r="M22" s="31">
        <f>M20/(1.03)^11</f>
        <v>402782.34777319856</v>
      </c>
      <c r="N22" s="31">
        <f>N20/(1.03)^12</f>
        <v>393006.07719617913</v>
      </c>
      <c r="O22" s="31">
        <f>O20/(1.03)^13</f>
        <v>383467.09473996109</v>
      </c>
      <c r="P22" s="31">
        <f>P20/(1.03)^14</f>
        <v>374159.64098413679</v>
      </c>
      <c r="Q22" s="31">
        <f>Q20/(1.03)^15</f>
        <v>365078.09630005562</v>
      </c>
      <c r="R22" s="31">
        <f>R20/(1.03)^16</f>
        <v>356216.97745782125</v>
      </c>
      <c r="S22" s="31">
        <f>S20/(1.03)^17</f>
        <v>347570.93431564106</v>
      </c>
      <c r="T22" s="31">
        <f>T20/(1.03)^18</f>
        <v>339134.74658953311</v>
      </c>
      <c r="U22" s="31">
        <f>U20/(1.03)^19</f>
        <v>330903.32070143777</v>
      </c>
      <c r="V22" s="31">
        <f>V20/(1.03)^20</f>
        <v>322871.68670383003</v>
      </c>
      <c r="W22" s="31">
        <f>W20/(1.03)^21</f>
        <v>315034.99527897971</v>
      </c>
      <c r="X22" s="31">
        <f>SUM(D22:W22)</f>
        <v>8037393.3350918395</v>
      </c>
      <c r="Y22" s="26" t="s">
        <v>78</v>
      </c>
    </row>
    <row r="23" spans="1:25" x14ac:dyDescent="0.25">
      <c r="C23" s="34"/>
      <c r="D23" s="34"/>
      <c r="E23" s="34"/>
      <c r="F23" s="34"/>
      <c r="G23" s="34"/>
      <c r="H23" s="34"/>
      <c r="I23" s="34"/>
      <c r="J23" s="34"/>
      <c r="K23" s="34"/>
      <c r="L23" s="34"/>
      <c r="M23" s="34"/>
      <c r="N23" s="34"/>
      <c r="O23" s="34"/>
      <c r="P23" s="34"/>
      <c r="Q23" s="34"/>
      <c r="R23" s="34"/>
      <c r="S23" s="34"/>
      <c r="T23" s="34"/>
      <c r="U23" s="34"/>
      <c r="V23" s="34"/>
      <c r="W23" s="34"/>
      <c r="X23" s="22"/>
      <c r="Y23" s="21"/>
    </row>
    <row r="24" spans="1:25"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row>
    <row r="25" spans="1:25" ht="30" x14ac:dyDescent="0.25">
      <c r="A25" s="26" t="s">
        <v>0</v>
      </c>
      <c r="B25" s="26" t="s">
        <v>1</v>
      </c>
      <c r="C25" s="26" t="s">
        <v>8</v>
      </c>
      <c r="D25" s="26" t="s">
        <v>52</v>
      </c>
    </row>
    <row r="26" spans="1:25" x14ac:dyDescent="0.25">
      <c r="A26" s="29">
        <v>0</v>
      </c>
      <c r="B26" s="29" t="s">
        <v>10</v>
      </c>
      <c r="C26" s="30">
        <v>0</v>
      </c>
      <c r="D26" s="31">
        <f>C26*1.01</f>
        <v>0</v>
      </c>
    </row>
    <row r="27" spans="1:25" x14ac:dyDescent="0.25">
      <c r="A27" s="28">
        <v>1</v>
      </c>
      <c r="B27" s="28" t="s">
        <v>2</v>
      </c>
      <c r="C27" s="31">
        <v>27600</v>
      </c>
      <c r="D27" s="31">
        <f t="shared" ref="D27:D33" si="6">C27*1.01</f>
        <v>27876</v>
      </c>
    </row>
    <row r="28" spans="1:25" x14ac:dyDescent="0.25">
      <c r="A28" s="28">
        <v>2</v>
      </c>
      <c r="B28" s="28" t="s">
        <v>3</v>
      </c>
      <c r="C28" s="31">
        <v>432400</v>
      </c>
      <c r="D28" s="31">
        <f t="shared" si="6"/>
        <v>436724</v>
      </c>
    </row>
    <row r="29" spans="1:25" x14ac:dyDescent="0.25">
      <c r="A29" s="28">
        <v>3</v>
      </c>
      <c r="B29" s="28" t="s">
        <v>4</v>
      </c>
      <c r="C29" s="31">
        <v>966000</v>
      </c>
      <c r="D29" s="31">
        <f t="shared" si="6"/>
        <v>975660</v>
      </c>
    </row>
    <row r="30" spans="1:25" x14ac:dyDescent="0.25">
      <c r="A30" s="28">
        <v>4</v>
      </c>
      <c r="B30" s="28" t="s">
        <v>5</v>
      </c>
      <c r="C30" s="31">
        <v>2477200</v>
      </c>
      <c r="D30" s="31">
        <f t="shared" si="6"/>
        <v>2501972</v>
      </c>
    </row>
    <row r="31" spans="1:25" x14ac:dyDescent="0.25">
      <c r="A31" s="28">
        <v>5</v>
      </c>
      <c r="B31" s="28" t="s">
        <v>6</v>
      </c>
      <c r="C31" s="31">
        <v>5455600</v>
      </c>
      <c r="D31" s="31">
        <f t="shared" si="6"/>
        <v>5510156</v>
      </c>
    </row>
    <row r="32" spans="1:25" x14ac:dyDescent="0.25">
      <c r="A32" s="28">
        <v>6</v>
      </c>
      <c r="B32" s="28" t="s">
        <v>7</v>
      </c>
      <c r="C32" s="31">
        <v>9200000</v>
      </c>
      <c r="D32" s="31">
        <f t="shared" si="6"/>
        <v>9292000</v>
      </c>
    </row>
    <row r="33" spans="1:4" ht="30" x14ac:dyDescent="0.25">
      <c r="A33" s="28" t="s">
        <v>56</v>
      </c>
      <c r="B33" s="28" t="s">
        <v>54</v>
      </c>
      <c r="C33" s="31">
        <v>3927</v>
      </c>
      <c r="D33" s="31">
        <f t="shared" si="6"/>
        <v>3966.27</v>
      </c>
    </row>
    <row r="34" spans="1:4" x14ac:dyDescent="0.25">
      <c r="A34" s="23"/>
      <c r="B34" s="23"/>
      <c r="C34" s="34"/>
      <c r="D34" s="34"/>
    </row>
    <row r="35" spans="1:4" x14ac:dyDescent="0.25">
      <c r="A35" s="23"/>
      <c r="B35" s="23"/>
      <c r="C35" s="34"/>
      <c r="D35" s="34"/>
    </row>
    <row r="36" spans="1:4" x14ac:dyDescent="0.25">
      <c r="A36" s="66" t="s">
        <v>64</v>
      </c>
      <c r="B36" s="66"/>
      <c r="C36" s="24"/>
    </row>
    <row r="37" spans="1:4" x14ac:dyDescent="0.25">
      <c r="A37" s="67" t="s">
        <v>14</v>
      </c>
      <c r="B37" s="68">
        <v>5.0000000000000001E-3</v>
      </c>
      <c r="C37" s="24"/>
    </row>
    <row r="38" spans="1:4" x14ac:dyDescent="0.25">
      <c r="A38" s="67"/>
      <c r="B38" s="68"/>
      <c r="C38" s="24"/>
    </row>
    <row r="39" spans="1:4" x14ac:dyDescent="0.25">
      <c r="A39" s="33" t="s">
        <v>16</v>
      </c>
    </row>
    <row r="40" spans="1:4" x14ac:dyDescent="0.25">
      <c r="A40" s="33" t="s">
        <v>73</v>
      </c>
    </row>
    <row r="41" spans="1:4" x14ac:dyDescent="0.25">
      <c r="A41" s="33" t="s">
        <v>75</v>
      </c>
    </row>
  </sheetData>
  <mergeCells count="7">
    <mergeCell ref="A37:A38"/>
    <mergeCell ref="B37:B38"/>
    <mergeCell ref="A1:B1"/>
    <mergeCell ref="A5:W5"/>
    <mergeCell ref="A13:W13"/>
    <mergeCell ref="A24:D24"/>
    <mergeCell ref="A36:B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11" workbookViewId="0">
      <selection activeCell="C20" sqref="C20:Y20"/>
    </sheetView>
  </sheetViews>
  <sheetFormatPr defaultColWidth="8.85546875" defaultRowHeight="15" x14ac:dyDescent="0.25"/>
  <cols>
    <col min="1" max="25" width="15.7109375" style="20" customWidth="1"/>
    <col min="26" max="16384" width="8.85546875" style="20"/>
  </cols>
  <sheetData>
    <row r="1" spans="1:23" x14ac:dyDescent="0.25">
      <c r="A1" s="66" t="s">
        <v>72</v>
      </c>
      <c r="B1" s="66"/>
    </row>
    <row r="2" spans="1:23" ht="30" x14ac:dyDescent="0.25">
      <c r="A2" s="26" t="s">
        <v>58</v>
      </c>
      <c r="B2" s="25" t="s">
        <v>74</v>
      </c>
    </row>
    <row r="3" spans="1:23" ht="45" x14ac:dyDescent="0.25">
      <c r="A3" s="26" t="s">
        <v>59</v>
      </c>
      <c r="B3" s="25">
        <v>0.75</v>
      </c>
    </row>
    <row r="5" spans="1:23" ht="14.45" customHeight="1" x14ac:dyDescent="0.25">
      <c r="A5" s="66" t="s">
        <v>62</v>
      </c>
      <c r="B5" s="66"/>
      <c r="C5" s="66"/>
      <c r="D5" s="66"/>
      <c r="E5" s="66"/>
      <c r="F5" s="66"/>
      <c r="G5" s="66"/>
      <c r="H5" s="66"/>
      <c r="I5" s="66"/>
      <c r="J5" s="66"/>
      <c r="K5" s="66"/>
      <c r="L5" s="66"/>
      <c r="M5" s="66"/>
      <c r="N5" s="66"/>
      <c r="O5" s="66"/>
      <c r="P5" s="66"/>
      <c r="Q5" s="66"/>
      <c r="R5" s="66"/>
      <c r="S5" s="66"/>
      <c r="T5" s="66"/>
      <c r="U5" s="66"/>
      <c r="V5" s="66"/>
      <c r="W5" s="66"/>
    </row>
    <row r="6" spans="1:23" ht="30" x14ac:dyDescent="0.25">
      <c r="A6" s="26" t="s">
        <v>9</v>
      </c>
      <c r="B6" s="26" t="s">
        <v>1</v>
      </c>
      <c r="C6" s="27" t="s">
        <v>51</v>
      </c>
      <c r="D6" s="26">
        <v>2017</v>
      </c>
      <c r="E6" s="26">
        <v>2018</v>
      </c>
      <c r="F6" s="26">
        <v>2019</v>
      </c>
      <c r="G6" s="26">
        <v>2020</v>
      </c>
      <c r="H6" s="26">
        <v>2021</v>
      </c>
      <c r="I6" s="26">
        <v>2022</v>
      </c>
      <c r="J6" s="26">
        <v>2023</v>
      </c>
      <c r="K6" s="26">
        <v>2024</v>
      </c>
      <c r="L6" s="26">
        <v>2025</v>
      </c>
      <c r="M6" s="26">
        <v>2026</v>
      </c>
      <c r="N6" s="26">
        <v>2027</v>
      </c>
      <c r="O6" s="26">
        <v>2028</v>
      </c>
      <c r="P6" s="26">
        <v>2029</v>
      </c>
      <c r="Q6" s="26">
        <v>2030</v>
      </c>
      <c r="R6" s="26">
        <v>2031</v>
      </c>
      <c r="S6" s="26">
        <v>2032</v>
      </c>
      <c r="T6" s="26">
        <v>2033</v>
      </c>
      <c r="U6" s="26">
        <v>2034</v>
      </c>
      <c r="V6" s="26">
        <v>2035</v>
      </c>
      <c r="W6" s="26">
        <v>2036</v>
      </c>
    </row>
    <row r="7" spans="1:23" x14ac:dyDescent="0.25">
      <c r="A7" s="28">
        <v>1</v>
      </c>
      <c r="B7" s="28" t="s">
        <v>13</v>
      </c>
      <c r="C7" s="25">
        <v>0.05</v>
      </c>
      <c r="D7" s="35">
        <f>$C7*(1+$B$37)^2*$B$3</f>
        <v>3.7875937499999991E-2</v>
      </c>
      <c r="E7" s="35">
        <f>$C7*(1+$B$37)^3*$B$3</f>
        <v>3.8065317187499989E-2</v>
      </c>
      <c r="F7" s="35">
        <f>$C7*(1+$B$37)^4*$B$3</f>
        <v>3.825564377343748E-2</v>
      </c>
      <c r="G7" s="35">
        <f>$C7*(1+$B$37)^5*$B$3</f>
        <v>3.8446921992304657E-2</v>
      </c>
      <c r="H7" s="35">
        <f>$C7*(1+$B$37)^6*$B$3</f>
        <v>3.8639156602266175E-2</v>
      </c>
      <c r="I7" s="35">
        <f>$C7*(1+$B$37)^7*$B$3</f>
        <v>3.8832352385277505E-2</v>
      </c>
      <c r="J7" s="35">
        <f>$C7*(1+$B$37)^8*$B$3</f>
        <v>3.9026514147203886E-2</v>
      </c>
      <c r="K7" s="35">
        <f>$C7*(1+$B$37)^9*$B$3</f>
        <v>3.9221646717939901E-2</v>
      </c>
      <c r="L7" s="35">
        <f>$C7*(1+$B$37)^10*$B$3</f>
        <v>3.9417754951529597E-2</v>
      </c>
      <c r="M7" s="35">
        <f>$C7*(1+$B$37)^11*$B$3</f>
        <v>3.9614843726287242E-2</v>
      </c>
      <c r="N7" s="35">
        <f>$C7*(1+$B$37)^12*$B$3</f>
        <v>3.981291794491866E-2</v>
      </c>
      <c r="O7" s="35">
        <f>$C7*(1+$B$37)^13*$B$3</f>
        <v>4.0011982534643255E-2</v>
      </c>
      <c r="P7" s="35">
        <f>$C7*(1+$B$37)^14*$B$3</f>
        <v>4.0212042447316465E-2</v>
      </c>
      <c r="Q7" s="35">
        <f>$C7*(1+$B$37)^15*$B$3</f>
        <v>4.0413102659553037E-2</v>
      </c>
      <c r="R7" s="35">
        <f>$C7*(1+$B$37)^16*$B$3</f>
        <v>4.0615168172850796E-2</v>
      </c>
      <c r="S7" s="35">
        <f>$C7*(1+$B$37)^17*$B$3</f>
        <v>4.0818244013715047E-2</v>
      </c>
      <c r="T7" s="35">
        <f>$C7*(1+$B$37)^18*$B$3</f>
        <v>4.1022335233783611E-2</v>
      </c>
      <c r="U7" s="35">
        <f>$C7*(1+$B$37)^19*$B$3</f>
        <v>4.1227446909952524E-2</v>
      </c>
      <c r="V7" s="35">
        <f>$C7*(1+$B$37)^20*$B$3</f>
        <v>4.1433584144502281E-2</v>
      </c>
      <c r="W7" s="35">
        <f>$C7*(1+$B$37)^21*$B$3</f>
        <v>4.1640752065224787E-2</v>
      </c>
    </row>
    <row r="8" spans="1:23" x14ac:dyDescent="0.25">
      <c r="A8" s="28">
        <v>2</v>
      </c>
      <c r="B8" s="28" t="s">
        <v>12</v>
      </c>
      <c r="C8" s="25">
        <v>0.1</v>
      </c>
      <c r="D8" s="35">
        <f>$C8*(1+$B$37)^2*$B$3</f>
        <v>7.5751874999999982E-2</v>
      </c>
      <c r="E8" s="35">
        <f>$C8*(1+$B$37)^3*$B$3</f>
        <v>7.6130634374999978E-2</v>
      </c>
      <c r="F8" s="35">
        <f>$C8*(1+$B$37)^4*$B$3</f>
        <v>7.6511287546874959E-2</v>
      </c>
      <c r="G8" s="35">
        <f>$C8*(1+$B$37)^5*$B$3</f>
        <v>7.6893843984609314E-2</v>
      </c>
      <c r="H8" s="35">
        <f>$C8*(1+$B$37)^6*$B$3</f>
        <v>7.7278313204532351E-2</v>
      </c>
      <c r="I8" s="35">
        <f>$C8*(1+$B$37)^7*$B$3</f>
        <v>7.766470477055501E-2</v>
      </c>
      <c r="J8" s="35">
        <f>$C8*(1+$B$37)^8*$B$3</f>
        <v>7.8053028294407772E-2</v>
      </c>
      <c r="K8" s="35">
        <f>$C8*(1+$B$37)^9*$B$3</f>
        <v>7.8443293435879802E-2</v>
      </c>
      <c r="L8" s="35">
        <f>$C8*(1+$B$37)^10*$B$3</f>
        <v>7.8835509903059195E-2</v>
      </c>
      <c r="M8" s="35">
        <f>$C8*(1+$B$37)^11*$B$3</f>
        <v>7.9229687452574485E-2</v>
      </c>
      <c r="N8" s="35">
        <f>$C8*(1+$B$37)^12*$B$3</f>
        <v>7.9625835889837321E-2</v>
      </c>
      <c r="O8" s="35">
        <f>$C8*(1+$B$37)^13*$B$3</f>
        <v>8.002396506928651E-2</v>
      </c>
      <c r="P8" s="35">
        <f>$C8*(1+$B$37)^14*$B$3</f>
        <v>8.042408489463293E-2</v>
      </c>
      <c r="Q8" s="35">
        <f>$C8*(1+$B$37)^15*$B$3</f>
        <v>8.0826205319106073E-2</v>
      </c>
      <c r="R8" s="35">
        <f>$C8*(1+$B$37)^16*$B$3</f>
        <v>8.1230336345701593E-2</v>
      </c>
      <c r="S8" s="35">
        <f>$C8*(1+$B$37)^17*$B$3</f>
        <v>8.1636488027430093E-2</v>
      </c>
      <c r="T8" s="35">
        <f>$C8*(1+$B$37)^18*$B$3</f>
        <v>8.2044670467567221E-2</v>
      </c>
      <c r="U8" s="35">
        <f>$C8*(1+$B$37)^19*$B$3</f>
        <v>8.2454893819905048E-2</v>
      </c>
      <c r="V8" s="35">
        <f>$C8*(1+$B$37)^20*$B$3</f>
        <v>8.2867168289004561E-2</v>
      </c>
      <c r="W8" s="35">
        <f>$C8*(1+$B$37)^21*$B$3</f>
        <v>8.3281504130449574E-2</v>
      </c>
    </row>
    <row r="9" spans="1:23" ht="30" x14ac:dyDescent="0.25">
      <c r="A9" s="28">
        <v>3</v>
      </c>
      <c r="B9" s="28" t="s">
        <v>53</v>
      </c>
      <c r="C9" s="25">
        <v>0.1</v>
      </c>
      <c r="D9" s="35">
        <f>$C9*(1+$B$37)^2*$B$3</f>
        <v>7.5751874999999982E-2</v>
      </c>
      <c r="E9" s="35">
        <f>$C9*(1+$B$37)^3*$B$3</f>
        <v>7.6130634374999978E-2</v>
      </c>
      <c r="F9" s="35">
        <f>$C9*(1+$B$37)^4*$B$3</f>
        <v>7.6511287546874959E-2</v>
      </c>
      <c r="G9" s="35">
        <f>$C9*(1+$B$37)^5*$B$3</f>
        <v>7.6893843984609314E-2</v>
      </c>
      <c r="H9" s="35">
        <f>$C9*(1+$B$37)^6*$B$3</f>
        <v>7.7278313204532351E-2</v>
      </c>
      <c r="I9" s="35">
        <f>$C9*(1+$B$37)^7*$B$3</f>
        <v>7.766470477055501E-2</v>
      </c>
      <c r="J9" s="35">
        <f>$C9*(1+$B$37)^8*$B$3</f>
        <v>7.8053028294407772E-2</v>
      </c>
      <c r="K9" s="35">
        <f>$C9*(1+$B$37)^9*$B$3</f>
        <v>7.8443293435879802E-2</v>
      </c>
      <c r="L9" s="35">
        <f>$C9*(1+$B$37)^10*$B$3</f>
        <v>7.8835509903059195E-2</v>
      </c>
      <c r="M9" s="35">
        <f>$C9*(1+$B$37)^11*$B$3</f>
        <v>7.9229687452574485E-2</v>
      </c>
      <c r="N9" s="35">
        <f>$C9*(1+$B$37)^12*$B$3</f>
        <v>7.9625835889837321E-2</v>
      </c>
      <c r="O9" s="35">
        <f>$C9*(1+$B$37)^13*$B$3</f>
        <v>8.002396506928651E-2</v>
      </c>
      <c r="P9" s="35">
        <f>$C9*(1+$B$37)^14*$B$3</f>
        <v>8.042408489463293E-2</v>
      </c>
      <c r="Q9" s="35">
        <f>$C9*(1+$B$37)^15*$B$3</f>
        <v>8.0826205319106073E-2</v>
      </c>
      <c r="R9" s="35">
        <f>$C9*(1+$B$37)^16*$B$3</f>
        <v>8.1230336345701593E-2</v>
      </c>
      <c r="S9" s="35">
        <f>$C9*(1+$B$37)^17*$B$3</f>
        <v>8.1636488027430093E-2</v>
      </c>
      <c r="T9" s="35">
        <f>$C9*(1+$B$37)^18*$B$3</f>
        <v>8.2044670467567221E-2</v>
      </c>
      <c r="U9" s="35">
        <f>$C9*(1+$B$37)^19*$B$3</f>
        <v>8.2454893819905048E-2</v>
      </c>
      <c r="V9" s="35">
        <f>$C9*(1+$B$37)^20*$B$3</f>
        <v>8.2867168289004561E-2</v>
      </c>
      <c r="W9" s="35">
        <f>$C9*(1+$B$37)^21*$B$3</f>
        <v>8.3281504130449574E-2</v>
      </c>
    </row>
    <row r="10" spans="1:23" x14ac:dyDescent="0.25">
      <c r="A10" s="28">
        <v>4</v>
      </c>
      <c r="B10" s="28" t="s">
        <v>11</v>
      </c>
      <c r="C10" s="25">
        <v>0.1</v>
      </c>
      <c r="D10" s="35">
        <f>$C10*(1+$B$37)^2*$B$3</f>
        <v>7.5751874999999982E-2</v>
      </c>
      <c r="E10" s="35">
        <f>$C10*(1+$B$37)^3*$B$3</f>
        <v>7.6130634374999978E-2</v>
      </c>
      <c r="F10" s="35">
        <f>$C10*(1+$B$37)^4*$B$3</f>
        <v>7.6511287546874959E-2</v>
      </c>
      <c r="G10" s="35">
        <f>$C10*(1+$B$37)^5*$B$3</f>
        <v>7.6893843984609314E-2</v>
      </c>
      <c r="H10" s="35">
        <f>$C10*(1+$B$37)^6*$B$3</f>
        <v>7.7278313204532351E-2</v>
      </c>
      <c r="I10" s="35">
        <f>$C10*(1+$B$37)^7*$B$3</f>
        <v>7.766470477055501E-2</v>
      </c>
      <c r="J10" s="35">
        <f>$C10*(1+$B$37)^8*$B$3</f>
        <v>7.8053028294407772E-2</v>
      </c>
      <c r="K10" s="35">
        <f>$C10*(1+$B$37)^9*$B$3</f>
        <v>7.8443293435879802E-2</v>
      </c>
      <c r="L10" s="35">
        <f>$C10*(1+$B$37)^10*$B$3</f>
        <v>7.8835509903059195E-2</v>
      </c>
      <c r="M10" s="35">
        <f>$C10*(1+$B$37)^11*$B$3</f>
        <v>7.9229687452574485E-2</v>
      </c>
      <c r="N10" s="35">
        <f>$C10*(1+$B$37)^12*$B$3</f>
        <v>7.9625835889837321E-2</v>
      </c>
      <c r="O10" s="35">
        <f>$C10*(1+$B$37)^13*$B$3</f>
        <v>8.002396506928651E-2</v>
      </c>
      <c r="P10" s="35">
        <f>$C10*(1+$B$37)^14*$B$3</f>
        <v>8.042408489463293E-2</v>
      </c>
      <c r="Q10" s="35">
        <f>$C10*(1+$B$37)^15*$B$3</f>
        <v>8.0826205319106073E-2</v>
      </c>
      <c r="R10" s="35">
        <f>$C10*(1+$B$37)^16*$B$3</f>
        <v>8.1230336345701593E-2</v>
      </c>
      <c r="S10" s="35">
        <f>$C10*(1+$B$37)^17*$B$3</f>
        <v>8.1636488027430093E-2</v>
      </c>
      <c r="T10" s="35">
        <f>$C10*(1+$B$37)^18*$B$3</f>
        <v>8.2044670467567221E-2</v>
      </c>
      <c r="U10" s="35">
        <f>$C10*(1+$B$37)^19*$B$3</f>
        <v>8.2454893819905048E-2</v>
      </c>
      <c r="V10" s="35">
        <f>$C10*(1+$B$37)^20*$B$3</f>
        <v>8.2867168289004561E-2</v>
      </c>
      <c r="W10" s="35">
        <f>$C10*(1+$B$37)^21*$B$3</f>
        <v>8.3281504130449574E-2</v>
      </c>
    </row>
    <row r="11" spans="1:23" ht="45" x14ac:dyDescent="0.25">
      <c r="A11" s="28">
        <v>5</v>
      </c>
      <c r="B11" s="28" t="s">
        <v>55</v>
      </c>
      <c r="C11" s="25">
        <v>0.1</v>
      </c>
      <c r="D11" s="35">
        <f>$C11*(1+$B$37)^2*$B$3</f>
        <v>7.5751874999999982E-2</v>
      </c>
      <c r="E11" s="35">
        <f>$C11*(1+$B$37)^3*$B$3</f>
        <v>7.6130634374999978E-2</v>
      </c>
      <c r="F11" s="35">
        <f>$C11*(1+$B$37)^4*$B$3</f>
        <v>7.6511287546874959E-2</v>
      </c>
      <c r="G11" s="35">
        <f>$C11*(1+$B$37)^5*$B$3</f>
        <v>7.6893843984609314E-2</v>
      </c>
      <c r="H11" s="35">
        <f>$C11*(1+$B$37)^6*$B$3</f>
        <v>7.7278313204532351E-2</v>
      </c>
      <c r="I11" s="35">
        <f>$C11*(1+$B$37)^7*$B$3</f>
        <v>7.766470477055501E-2</v>
      </c>
      <c r="J11" s="35">
        <f>$C11*(1+$B$37)^8*$B$3</f>
        <v>7.8053028294407772E-2</v>
      </c>
      <c r="K11" s="35">
        <f>$C11*(1+$B$37)^9*$B$3</f>
        <v>7.8443293435879802E-2</v>
      </c>
      <c r="L11" s="35">
        <f>$C11*(1+$B$37)^10*$B$3</f>
        <v>7.8835509903059195E-2</v>
      </c>
      <c r="M11" s="35">
        <f>$C11*(1+$B$37)^11*$B$3</f>
        <v>7.9229687452574485E-2</v>
      </c>
      <c r="N11" s="35">
        <f>$C11*(1+$B$37)^12*$B$3</f>
        <v>7.9625835889837321E-2</v>
      </c>
      <c r="O11" s="35">
        <f>$C11*(1+$B$37)^13*$B$3</f>
        <v>8.002396506928651E-2</v>
      </c>
      <c r="P11" s="35">
        <f>$C11*(1+$B$37)^14*$B$3</f>
        <v>8.042408489463293E-2</v>
      </c>
      <c r="Q11" s="35">
        <f>$C11*(1+$B$37)^15*$B$3</f>
        <v>8.0826205319106073E-2</v>
      </c>
      <c r="R11" s="35">
        <f>$C11*(1+$B$37)^16*$B$3</f>
        <v>8.1230336345701593E-2</v>
      </c>
      <c r="S11" s="35">
        <f>$C11*(1+$B$37)^17*$B$3</f>
        <v>8.1636488027430093E-2</v>
      </c>
      <c r="T11" s="35">
        <f>$C11*(1+$B$37)^18*$B$3</f>
        <v>8.2044670467567221E-2</v>
      </c>
      <c r="U11" s="35">
        <f>$C11*(1+$B$37)^19*$B$3</f>
        <v>8.2454893819905048E-2</v>
      </c>
      <c r="V11" s="35">
        <f>$C11*(1+$B$37)^20*$B$3</f>
        <v>8.2867168289004561E-2</v>
      </c>
      <c r="W11" s="35">
        <f>$C11*(1+$B$37)^21*$B$3</f>
        <v>8.3281504130449574E-2</v>
      </c>
    </row>
    <row r="13" spans="1:23" ht="14.45" customHeight="1"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row>
    <row r="14" spans="1:23" ht="30" x14ac:dyDescent="0.25">
      <c r="A14" s="26" t="s">
        <v>9</v>
      </c>
      <c r="B14" s="26" t="s">
        <v>1</v>
      </c>
      <c r="C14" s="26" t="s">
        <v>57</v>
      </c>
      <c r="D14" s="26">
        <v>2017</v>
      </c>
      <c r="E14" s="26">
        <v>2018</v>
      </c>
      <c r="F14" s="26">
        <v>2019</v>
      </c>
      <c r="G14" s="26">
        <v>2020</v>
      </c>
      <c r="H14" s="26">
        <v>2021</v>
      </c>
      <c r="I14" s="26">
        <v>2022</v>
      </c>
      <c r="J14" s="26">
        <v>2023</v>
      </c>
      <c r="K14" s="26">
        <v>2024</v>
      </c>
      <c r="L14" s="26">
        <v>2025</v>
      </c>
      <c r="M14" s="26">
        <v>2026</v>
      </c>
      <c r="N14" s="26">
        <v>2027</v>
      </c>
      <c r="O14" s="26">
        <v>2028</v>
      </c>
      <c r="P14" s="26">
        <v>2029</v>
      </c>
      <c r="Q14" s="26">
        <v>2030</v>
      </c>
      <c r="R14" s="26">
        <v>2031</v>
      </c>
      <c r="S14" s="26">
        <v>2032</v>
      </c>
      <c r="T14" s="26">
        <v>2033</v>
      </c>
      <c r="U14" s="26">
        <v>2034</v>
      </c>
      <c r="V14" s="26">
        <v>2035</v>
      </c>
      <c r="W14" s="26">
        <v>2036</v>
      </c>
    </row>
    <row r="15" spans="1:23" x14ac:dyDescent="0.25">
      <c r="A15" s="28">
        <v>1</v>
      </c>
      <c r="B15" s="28" t="s">
        <v>13</v>
      </c>
      <c r="C15" s="31">
        <f>D32</f>
        <v>9292000</v>
      </c>
      <c r="D15" s="31">
        <f t="shared" ref="D15:W15" si="0">D$7*$C$15</f>
        <v>351943.21124999993</v>
      </c>
      <c r="E15" s="31">
        <f t="shared" si="0"/>
        <v>353702.92730624991</v>
      </c>
      <c r="F15" s="31">
        <f t="shared" si="0"/>
        <v>355471.44194278104</v>
      </c>
      <c r="G15" s="31">
        <f t="shared" si="0"/>
        <v>357248.79915249487</v>
      </c>
      <c r="H15" s="31">
        <f t="shared" si="0"/>
        <v>359035.0431482573</v>
      </c>
      <c r="I15" s="31">
        <f t="shared" si="0"/>
        <v>360830.21836399857</v>
      </c>
      <c r="J15" s="31">
        <f t="shared" si="0"/>
        <v>362634.36945581849</v>
      </c>
      <c r="K15" s="31">
        <f t="shared" si="0"/>
        <v>364447.54130309756</v>
      </c>
      <c r="L15" s="31">
        <f t="shared" si="0"/>
        <v>366269.77900961303</v>
      </c>
      <c r="M15" s="31">
        <f t="shared" si="0"/>
        <v>368101.12790466106</v>
      </c>
      <c r="N15" s="31">
        <f t="shared" si="0"/>
        <v>369941.63354418421</v>
      </c>
      <c r="O15" s="31">
        <f t="shared" si="0"/>
        <v>371791.34171190514</v>
      </c>
      <c r="P15" s="31">
        <f t="shared" si="0"/>
        <v>373650.29842046462</v>
      </c>
      <c r="Q15" s="31">
        <f t="shared" si="0"/>
        <v>375518.54991256684</v>
      </c>
      <c r="R15" s="31">
        <f t="shared" si="0"/>
        <v>377396.1426621296</v>
      </c>
      <c r="S15" s="31">
        <f t="shared" si="0"/>
        <v>379283.12337544019</v>
      </c>
      <c r="T15" s="31">
        <f t="shared" si="0"/>
        <v>381179.53899231734</v>
      </c>
      <c r="U15" s="31">
        <f t="shared" si="0"/>
        <v>383085.43668727885</v>
      </c>
      <c r="V15" s="31">
        <f t="shared" si="0"/>
        <v>385000.8638707152</v>
      </c>
      <c r="W15" s="31">
        <f t="shared" si="0"/>
        <v>386925.86819006869</v>
      </c>
    </row>
    <row r="16" spans="1:23" x14ac:dyDescent="0.25">
      <c r="A16" s="28">
        <v>2</v>
      </c>
      <c r="B16" s="28" t="s">
        <v>12</v>
      </c>
      <c r="C16" s="31">
        <f>0.03437*D26+0.55449*D27+0.20908*D28+0.14437*D29+0.03986*D30+0.01783*D31+0*D32</f>
        <v>445597.93676000001</v>
      </c>
      <c r="D16" s="31">
        <f t="shared" ref="D16:W16" si="1">D$8*$C$16</f>
        <v>33754.879205701422</v>
      </c>
      <c r="E16" s="31">
        <f t="shared" si="1"/>
        <v>33923.653601729922</v>
      </c>
      <c r="F16" s="31">
        <f t="shared" si="1"/>
        <v>34093.271869738564</v>
      </c>
      <c r="G16" s="31">
        <f t="shared" si="1"/>
        <v>34263.738229087248</v>
      </c>
      <c r="H16" s="31">
        <f t="shared" si="1"/>
        <v>34435.056920232681</v>
      </c>
      <c r="I16" s="31">
        <f t="shared" si="1"/>
        <v>34607.232204833839</v>
      </c>
      <c r="J16" s="31">
        <f t="shared" si="1"/>
        <v>34780.268365858006</v>
      </c>
      <c r="K16" s="31">
        <f t="shared" si="1"/>
        <v>34954.169707687295</v>
      </c>
      <c r="L16" s="31">
        <f t="shared" si="1"/>
        <v>35128.940556225723</v>
      </c>
      <c r="M16" s="31">
        <f t="shared" si="1"/>
        <v>35304.585259006853</v>
      </c>
      <c r="N16" s="31">
        <f t="shared" si="1"/>
        <v>35481.10818530187</v>
      </c>
      <c r="O16" s="31">
        <f t="shared" si="1"/>
        <v>35658.513726228382</v>
      </c>
      <c r="P16" s="31">
        <f t="shared" si="1"/>
        <v>35836.806294859518</v>
      </c>
      <c r="Q16" s="31">
        <f t="shared" si="1"/>
        <v>36015.990326333806</v>
      </c>
      <c r="R16" s="31">
        <f t="shared" si="1"/>
        <v>36196.070277965468</v>
      </c>
      <c r="S16" s="31">
        <f t="shared" si="1"/>
        <v>36377.05062935529</v>
      </c>
      <c r="T16" s="31">
        <f t="shared" si="1"/>
        <v>36558.935882502061</v>
      </c>
      <c r="U16" s="31">
        <f t="shared" si="1"/>
        <v>36741.730561914563</v>
      </c>
      <c r="V16" s="31">
        <f t="shared" si="1"/>
        <v>36925.439214724131</v>
      </c>
      <c r="W16" s="31">
        <f t="shared" si="1"/>
        <v>37110.06641079775</v>
      </c>
    </row>
    <row r="17" spans="1:25" ht="30" x14ac:dyDescent="0.25">
      <c r="A17" s="28">
        <v>3</v>
      </c>
      <c r="B17" s="28" t="s">
        <v>53</v>
      </c>
      <c r="C17" s="31">
        <f>0.08347*D26+0.76843*D27+0.10898*D28+0.03191*D29+0.0062*D30+0.00101*D31+0*D32</f>
        <v>121225.73075999999</v>
      </c>
      <c r="D17" s="31">
        <f t="shared" ref="D17:W17" si="2">D$9*$C$17</f>
        <v>9183.0764033151718</v>
      </c>
      <c r="E17" s="31">
        <f t="shared" si="2"/>
        <v>9228.9917853317475</v>
      </c>
      <c r="F17" s="31">
        <f t="shared" si="2"/>
        <v>9275.1367442584033</v>
      </c>
      <c r="G17" s="31">
        <f t="shared" si="2"/>
        <v>9321.5124279796928</v>
      </c>
      <c r="H17" s="31">
        <f t="shared" si="2"/>
        <v>9368.1199901195905</v>
      </c>
      <c r="I17" s="31">
        <f t="shared" si="2"/>
        <v>9414.9605900701881</v>
      </c>
      <c r="J17" s="31">
        <f t="shared" si="2"/>
        <v>9462.0353930205383</v>
      </c>
      <c r="K17" s="31">
        <f t="shared" si="2"/>
        <v>9509.3455699856386</v>
      </c>
      <c r="L17" s="31">
        <f t="shared" si="2"/>
        <v>9556.8922978355677</v>
      </c>
      <c r="M17" s="31">
        <f t="shared" si="2"/>
        <v>9604.6767593247441</v>
      </c>
      <c r="N17" s="31">
        <f t="shared" si="2"/>
        <v>9652.700143121363</v>
      </c>
      <c r="O17" s="31">
        <f t="shared" si="2"/>
        <v>9700.9636438369707</v>
      </c>
      <c r="P17" s="31">
        <f t="shared" si="2"/>
        <v>9749.4684620561547</v>
      </c>
      <c r="Q17" s="31">
        <f t="shared" si="2"/>
        <v>9798.2158043664313</v>
      </c>
      <c r="R17" s="31">
        <f t="shared" si="2"/>
        <v>9847.2068833882622</v>
      </c>
      <c r="S17" s="31">
        <f t="shared" si="2"/>
        <v>9896.4429178052033</v>
      </c>
      <c r="T17" s="31">
        <f t="shared" si="2"/>
        <v>9945.9251323942262</v>
      </c>
      <c r="U17" s="31">
        <f t="shared" si="2"/>
        <v>9995.6547580561964</v>
      </c>
      <c r="V17" s="31">
        <f t="shared" si="2"/>
        <v>10045.633031846475</v>
      </c>
      <c r="W17" s="31">
        <f t="shared" si="2"/>
        <v>10095.861197005706</v>
      </c>
    </row>
    <row r="18" spans="1:25" x14ac:dyDescent="0.25">
      <c r="A18" s="28">
        <v>4</v>
      </c>
      <c r="B18" s="28" t="s">
        <v>11</v>
      </c>
      <c r="C18" s="31">
        <f>0.23437*D26+0.68946*D27+0.06391*D28+0.01071*D29+0.00142*D30+0.00013*D31+0*D32</f>
        <v>61848.856919999991</v>
      </c>
      <c r="D18" s="31">
        <f t="shared" ref="D18:W18" si="3">D$10*$C$18</f>
        <v>4685.1668782967236</v>
      </c>
      <c r="E18" s="31">
        <f t="shared" si="3"/>
        <v>4708.592712688207</v>
      </c>
      <c r="F18" s="31">
        <f t="shared" si="3"/>
        <v>4732.1356762516461</v>
      </c>
      <c r="G18" s="31">
        <f t="shared" si="3"/>
        <v>4755.7963546329038</v>
      </c>
      <c r="H18" s="31">
        <f t="shared" si="3"/>
        <v>4779.5753364060674</v>
      </c>
      <c r="I18" s="31">
        <f t="shared" si="3"/>
        <v>4803.4732130880975</v>
      </c>
      <c r="J18" s="31">
        <f t="shared" si="3"/>
        <v>4827.4905791535375</v>
      </c>
      <c r="K18" s="31">
        <f t="shared" si="3"/>
        <v>4851.6280320493042</v>
      </c>
      <c r="L18" s="31">
        <f t="shared" si="3"/>
        <v>4875.8861722095508</v>
      </c>
      <c r="M18" s="31">
        <f t="shared" si="3"/>
        <v>4900.2656030705975</v>
      </c>
      <c r="N18" s="31">
        <f t="shared" si="3"/>
        <v>4924.7669310859483</v>
      </c>
      <c r="O18" s="31">
        <f t="shared" si="3"/>
        <v>4949.3907657413783</v>
      </c>
      <c r="P18" s="31">
        <f t="shared" si="3"/>
        <v>4974.1377195700843</v>
      </c>
      <c r="Q18" s="31">
        <f t="shared" si="3"/>
        <v>4999.0084081679333</v>
      </c>
      <c r="R18" s="31">
        <f t="shared" si="3"/>
        <v>5024.0034502087728</v>
      </c>
      <c r="S18" s="31">
        <f t="shared" si="3"/>
        <v>5049.1234674598163</v>
      </c>
      <c r="T18" s="31">
        <f t="shared" si="3"/>
        <v>5074.3690847971138</v>
      </c>
      <c r="U18" s="31">
        <f t="shared" si="3"/>
        <v>5099.740930221099</v>
      </c>
      <c r="V18" s="31">
        <f t="shared" si="3"/>
        <v>5125.2396348722032</v>
      </c>
      <c r="W18" s="31">
        <f t="shared" si="3"/>
        <v>5150.8658330465641</v>
      </c>
    </row>
    <row r="19" spans="1:25" ht="45" x14ac:dyDescent="0.25">
      <c r="A19" s="28">
        <v>5</v>
      </c>
      <c r="B19" s="28" t="s">
        <v>55</v>
      </c>
      <c r="C19" s="31">
        <f>0.92534*D26+0.07257*D27+0.00198*D28+0.00008*D29+0*D30+0.00003*D31+0*D32</f>
        <v>3131.0323199999998</v>
      </c>
      <c r="D19" s="31">
        <f t="shared" ref="D19:W19" si="4">D$11*$C$19</f>
        <v>237.18156892559992</v>
      </c>
      <c r="E19" s="31">
        <f t="shared" si="4"/>
        <v>238.36747677022791</v>
      </c>
      <c r="F19" s="31">
        <f t="shared" si="4"/>
        <v>239.559314154079</v>
      </c>
      <c r="G19" s="31">
        <f t="shared" si="4"/>
        <v>240.75711072484933</v>
      </c>
      <c r="H19" s="31">
        <f t="shared" si="4"/>
        <v>241.96089627847354</v>
      </c>
      <c r="I19" s="31">
        <f t="shared" si="4"/>
        <v>243.17070075986589</v>
      </c>
      <c r="J19" s="31">
        <f t="shared" si="4"/>
        <v>244.3865542636652</v>
      </c>
      <c r="K19" s="31">
        <f t="shared" si="4"/>
        <v>245.60848703498348</v>
      </c>
      <c r="L19" s="31">
        <f t="shared" si="4"/>
        <v>246.83652947015838</v>
      </c>
      <c r="M19" s="31">
        <f t="shared" si="4"/>
        <v>248.07071211750917</v>
      </c>
      <c r="N19" s="31">
        <f t="shared" si="4"/>
        <v>249.31106567809658</v>
      </c>
      <c r="O19" s="31">
        <f t="shared" si="4"/>
        <v>250.5576210064871</v>
      </c>
      <c r="P19" s="31">
        <f t="shared" si="4"/>
        <v>251.81040911151948</v>
      </c>
      <c r="Q19" s="31">
        <f t="shared" si="4"/>
        <v>253.069461157077</v>
      </c>
      <c r="R19" s="31">
        <f t="shared" si="4"/>
        <v>254.33480846286236</v>
      </c>
      <c r="S19" s="31">
        <f t="shared" si="4"/>
        <v>255.60648250517664</v>
      </c>
      <c r="T19" s="31">
        <f t="shared" si="4"/>
        <v>256.88451491770246</v>
      </c>
      <c r="U19" s="31">
        <f t="shared" si="4"/>
        <v>258.16893749229092</v>
      </c>
      <c r="V19" s="31">
        <f t="shared" si="4"/>
        <v>259.45978217975238</v>
      </c>
      <c r="W19" s="31">
        <f t="shared" si="4"/>
        <v>260.75708109065107</v>
      </c>
      <c r="X19" s="26" t="s">
        <v>61</v>
      </c>
    </row>
    <row r="20" spans="1:25" ht="30" x14ac:dyDescent="0.25">
      <c r="C20" s="27" t="s">
        <v>60</v>
      </c>
      <c r="D20" s="31">
        <f>SUM(D15:D19)</f>
        <v>399803.51530623884</v>
      </c>
      <c r="E20" s="31">
        <f t="shared" ref="E20:W20" si="5">SUM(E15:E19)</f>
        <v>401802.53288277006</v>
      </c>
      <c r="F20" s="31">
        <f t="shared" si="5"/>
        <v>403811.54554718378</v>
      </c>
      <c r="G20" s="31">
        <f t="shared" si="5"/>
        <v>405830.60327491956</v>
      </c>
      <c r="H20" s="31">
        <f t="shared" si="5"/>
        <v>407859.75629129412</v>
      </c>
      <c r="I20" s="31">
        <f t="shared" si="5"/>
        <v>409899.05507275055</v>
      </c>
      <c r="J20" s="31">
        <f t="shared" si="5"/>
        <v>411948.55034811422</v>
      </c>
      <c r="K20" s="31">
        <f t="shared" si="5"/>
        <v>414008.29309985472</v>
      </c>
      <c r="L20" s="31">
        <f t="shared" si="5"/>
        <v>416078.33456535405</v>
      </c>
      <c r="M20" s="31">
        <f t="shared" si="5"/>
        <v>418158.72623818083</v>
      </c>
      <c r="N20" s="31">
        <f t="shared" si="5"/>
        <v>420249.51986937149</v>
      </c>
      <c r="O20" s="31">
        <f t="shared" si="5"/>
        <v>422350.76746871835</v>
      </c>
      <c r="P20" s="31">
        <f t="shared" si="5"/>
        <v>424462.52130606183</v>
      </c>
      <c r="Q20" s="31">
        <f t="shared" si="5"/>
        <v>426584.83391259209</v>
      </c>
      <c r="R20" s="31">
        <f t="shared" si="5"/>
        <v>428717.75808215496</v>
      </c>
      <c r="S20" s="31">
        <f t="shared" si="5"/>
        <v>430861.34687256569</v>
      </c>
      <c r="T20" s="31">
        <f t="shared" si="5"/>
        <v>433015.65360692842</v>
      </c>
      <c r="U20" s="31">
        <f t="shared" si="5"/>
        <v>435180.73187496304</v>
      </c>
      <c r="V20" s="31">
        <f t="shared" si="5"/>
        <v>437356.63553433772</v>
      </c>
      <c r="W20" s="31">
        <f t="shared" si="5"/>
        <v>439543.41871200938</v>
      </c>
      <c r="X20" s="31">
        <f>SUM(D20:W20)</f>
        <v>8387524.0998663642</v>
      </c>
      <c r="Y20" s="26" t="s">
        <v>60</v>
      </c>
    </row>
    <row r="21" spans="1:25" ht="30" x14ac:dyDescent="0.25">
      <c r="C21" s="27" t="s">
        <v>77</v>
      </c>
      <c r="D21" s="31">
        <f>D20/(1.07)^2</f>
        <v>349203.87396824075</v>
      </c>
      <c r="E21" s="31">
        <f>E20/(1.07)^3</f>
        <v>327990.5545215719</v>
      </c>
      <c r="F21" s="31">
        <f>F20/(1.07)^4</f>
        <v>308065.89466745767</v>
      </c>
      <c r="G21" s="31">
        <f>G20/(1.07)^5</f>
        <v>289351.61134653719</v>
      </c>
      <c r="H21" s="31">
        <f>H20/(1.07)^6</f>
        <v>271774.17701240175</v>
      </c>
      <c r="I21" s="31">
        <f>I20/(1.07)^7</f>
        <v>255264.53074529319</v>
      </c>
      <c r="J21" s="31">
        <f>J20/(1.07)^8</f>
        <v>239757.80691497162</v>
      </c>
      <c r="K21" s="31">
        <f>K20/(1.07)^9</f>
        <v>225193.08032667887</v>
      </c>
      <c r="L21" s="31">
        <f>L20/(1.07)^10</f>
        <v>211513.12684889001</v>
      </c>
      <c r="M21" s="31">
        <f>M20/(1.07)^11</f>
        <v>198664.19858236864</v>
      </c>
      <c r="N21" s="31">
        <f>N20/(1.07)^12</f>
        <v>186595.81268717794</v>
      </c>
      <c r="O21" s="31">
        <f>O20/(1.07)^13</f>
        <v>175260.55303795685</v>
      </c>
      <c r="P21" s="31">
        <f>P20/(1.07)^14</f>
        <v>164613.88392817439</v>
      </c>
      <c r="Q21" s="31">
        <f>Q20/(1.07)^15</f>
        <v>154613.9750914161</v>
      </c>
      <c r="R21" s="31">
        <f>R20/(1.07)^16</f>
        <v>145221.53735221791</v>
      </c>
      <c r="S21" s="31">
        <f>S20/(1.07)^17</f>
        <v>136399.66826072801</v>
      </c>
      <c r="T21" s="31">
        <f>T20/(1.07)^18</f>
        <v>128113.70710470245</v>
      </c>
      <c r="U21" s="31">
        <f>U20/(1.07)^19</f>
        <v>120331.09872918313</v>
      </c>
      <c r="V21" s="31">
        <f>V20/(1.07)^20</f>
        <v>113021.26562881217</v>
      </c>
      <c r="W21" s="31">
        <f>W20/(1.07)^21</f>
        <v>106155.48781023946</v>
      </c>
      <c r="X21" s="31">
        <f>SUM(D21:W21)</f>
        <v>4107105.8445650199</v>
      </c>
      <c r="Y21" s="27" t="s">
        <v>77</v>
      </c>
    </row>
    <row r="22" spans="1:25" ht="30" x14ac:dyDescent="0.25">
      <c r="C22" s="27" t="s">
        <v>78</v>
      </c>
      <c r="D22" s="31">
        <f>D20/(1.03)^2</f>
        <v>376853.15798495512</v>
      </c>
      <c r="E22" s="31">
        <f>E20/(1.03)^3</f>
        <v>367706.23667464068</v>
      </c>
      <c r="F22" s="31">
        <f>F20/(1.03)^4</f>
        <v>358781.32801748911</v>
      </c>
      <c r="G22" s="31">
        <f>G20/(1.03)^5</f>
        <v>350073.0433568703</v>
      </c>
      <c r="H22" s="31">
        <f>H20/(1.03)^6</f>
        <v>341576.1248287909</v>
      </c>
      <c r="I22" s="31">
        <f>I20/(1.03)^7</f>
        <v>333285.44218731532</v>
      </c>
      <c r="J22" s="31">
        <f>J20/(1.03)^8</f>
        <v>325195.98970704066</v>
      </c>
      <c r="K22" s="31">
        <f>K20/(1.03)^9</f>
        <v>317302.88316075323</v>
      </c>
      <c r="L22" s="31">
        <f>L20/(1.03)^10</f>
        <v>309601.35687044368</v>
      </c>
      <c r="M22" s="31">
        <f>M20/(1.03)^11</f>
        <v>302086.76082989894</v>
      </c>
      <c r="N22" s="31">
        <f>N20/(1.03)^12</f>
        <v>294754.55789713428</v>
      </c>
      <c r="O22" s="31">
        <f>O20/(1.03)^13</f>
        <v>287600.32105497085</v>
      </c>
      <c r="P22" s="31">
        <f>P20/(1.03)^14</f>
        <v>280619.73073810252</v>
      </c>
      <c r="Q22" s="31">
        <f>Q20/(1.03)^15</f>
        <v>273808.57222504175</v>
      </c>
      <c r="R22" s="31">
        <f>R20/(1.03)^16</f>
        <v>267162.73309336597</v>
      </c>
      <c r="S22" s="31">
        <f>S20/(1.03)^17</f>
        <v>260678.20073673083</v>
      </c>
      <c r="T22" s="31">
        <f>T20/(1.03)^18</f>
        <v>254351.05994214994</v>
      </c>
      <c r="U22" s="31">
        <f>U20/(1.03)^19</f>
        <v>248177.49052607833</v>
      </c>
      <c r="V22" s="31">
        <f>V20/(1.03)^20</f>
        <v>242153.76502787246</v>
      </c>
      <c r="W22" s="31">
        <f>W20/(1.03)^21</f>
        <v>236276.2464592348</v>
      </c>
      <c r="X22" s="31">
        <f>SUM(D22:W22)</f>
        <v>6028045.0013188794</v>
      </c>
      <c r="Y22" s="26" t="s">
        <v>78</v>
      </c>
    </row>
    <row r="23" spans="1:25" x14ac:dyDescent="0.25">
      <c r="C23" s="34"/>
      <c r="D23" s="34"/>
      <c r="E23" s="34"/>
      <c r="F23" s="34"/>
      <c r="G23" s="34"/>
      <c r="H23" s="34"/>
      <c r="I23" s="34"/>
      <c r="J23" s="34"/>
      <c r="K23" s="34"/>
      <c r="L23" s="34"/>
      <c r="M23" s="34"/>
      <c r="N23" s="34"/>
      <c r="O23" s="34"/>
      <c r="P23" s="34"/>
      <c r="Q23" s="34"/>
      <c r="R23" s="34"/>
      <c r="S23" s="34"/>
      <c r="T23" s="34"/>
      <c r="U23" s="34"/>
      <c r="V23" s="34"/>
      <c r="W23" s="34"/>
      <c r="X23" s="22"/>
      <c r="Y23" s="21"/>
    </row>
    <row r="24" spans="1:25"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row>
    <row r="25" spans="1:25" ht="30" x14ac:dyDescent="0.25">
      <c r="A25" s="26" t="s">
        <v>0</v>
      </c>
      <c r="B25" s="26" t="s">
        <v>1</v>
      </c>
      <c r="C25" s="26" t="s">
        <v>8</v>
      </c>
      <c r="D25" s="26" t="s">
        <v>52</v>
      </c>
    </row>
    <row r="26" spans="1:25" x14ac:dyDescent="0.25">
      <c r="A26" s="29">
        <v>0</v>
      </c>
      <c r="B26" s="29" t="s">
        <v>10</v>
      </c>
      <c r="C26" s="30">
        <v>0</v>
      </c>
      <c r="D26" s="31">
        <f>C26*1.01</f>
        <v>0</v>
      </c>
    </row>
    <row r="27" spans="1:25" x14ac:dyDescent="0.25">
      <c r="A27" s="28">
        <v>1</v>
      </c>
      <c r="B27" s="28" t="s">
        <v>2</v>
      </c>
      <c r="C27" s="31">
        <v>27600</v>
      </c>
      <c r="D27" s="31">
        <f t="shared" ref="D27:D33" si="6">C27*1.01</f>
        <v>27876</v>
      </c>
    </row>
    <row r="28" spans="1:25" x14ac:dyDescent="0.25">
      <c r="A28" s="28">
        <v>2</v>
      </c>
      <c r="B28" s="28" t="s">
        <v>3</v>
      </c>
      <c r="C28" s="31">
        <v>432400</v>
      </c>
      <c r="D28" s="31">
        <f t="shared" si="6"/>
        <v>436724</v>
      </c>
    </row>
    <row r="29" spans="1:25" x14ac:dyDescent="0.25">
      <c r="A29" s="28">
        <v>3</v>
      </c>
      <c r="B29" s="28" t="s">
        <v>4</v>
      </c>
      <c r="C29" s="31">
        <v>966000</v>
      </c>
      <c r="D29" s="31">
        <f t="shared" si="6"/>
        <v>975660</v>
      </c>
    </row>
    <row r="30" spans="1:25" x14ac:dyDescent="0.25">
      <c r="A30" s="28">
        <v>4</v>
      </c>
      <c r="B30" s="28" t="s">
        <v>5</v>
      </c>
      <c r="C30" s="31">
        <v>2477200</v>
      </c>
      <c r="D30" s="31">
        <f t="shared" si="6"/>
        <v>2501972</v>
      </c>
    </row>
    <row r="31" spans="1:25" x14ac:dyDescent="0.25">
      <c r="A31" s="28">
        <v>5</v>
      </c>
      <c r="B31" s="28" t="s">
        <v>6</v>
      </c>
      <c r="C31" s="31">
        <v>5455600</v>
      </c>
      <c r="D31" s="31">
        <f t="shared" si="6"/>
        <v>5510156</v>
      </c>
    </row>
    <row r="32" spans="1:25" x14ac:dyDescent="0.25">
      <c r="A32" s="28">
        <v>6</v>
      </c>
      <c r="B32" s="28" t="s">
        <v>7</v>
      </c>
      <c r="C32" s="31">
        <v>9200000</v>
      </c>
      <c r="D32" s="31">
        <f t="shared" si="6"/>
        <v>9292000</v>
      </c>
    </row>
    <row r="33" spans="1:4" ht="30" x14ac:dyDescent="0.25">
      <c r="A33" s="28" t="s">
        <v>56</v>
      </c>
      <c r="B33" s="28" t="s">
        <v>54</v>
      </c>
      <c r="C33" s="31">
        <v>3927</v>
      </c>
      <c r="D33" s="31">
        <f t="shared" si="6"/>
        <v>3966.27</v>
      </c>
    </row>
    <row r="34" spans="1:4" x14ac:dyDescent="0.25">
      <c r="A34" s="23"/>
      <c r="B34" s="23"/>
      <c r="C34" s="34"/>
      <c r="D34" s="34"/>
    </row>
    <row r="35" spans="1:4" x14ac:dyDescent="0.25">
      <c r="A35" s="23"/>
      <c r="B35" s="23"/>
      <c r="C35" s="34"/>
      <c r="D35" s="34"/>
    </row>
    <row r="36" spans="1:4" x14ac:dyDescent="0.25">
      <c r="A36" s="66" t="s">
        <v>64</v>
      </c>
      <c r="B36" s="66"/>
      <c r="C36" s="24"/>
    </row>
    <row r="37" spans="1:4" x14ac:dyDescent="0.25">
      <c r="A37" s="67" t="s">
        <v>14</v>
      </c>
      <c r="B37" s="68">
        <v>5.0000000000000001E-3</v>
      </c>
      <c r="C37" s="24"/>
    </row>
    <row r="38" spans="1:4" x14ac:dyDescent="0.25">
      <c r="A38" s="67"/>
      <c r="B38" s="68"/>
      <c r="C38" s="24"/>
    </row>
    <row r="39" spans="1:4" x14ac:dyDescent="0.25">
      <c r="A39" s="33" t="s">
        <v>16</v>
      </c>
      <c r="B39" s="32"/>
    </row>
    <row r="40" spans="1:4" x14ac:dyDescent="0.25">
      <c r="A40" s="33" t="s">
        <v>73</v>
      </c>
    </row>
    <row r="41" spans="1:4" x14ac:dyDescent="0.25">
      <c r="A41" s="33" t="s">
        <v>75</v>
      </c>
    </row>
  </sheetData>
  <mergeCells count="7">
    <mergeCell ref="A37:A38"/>
    <mergeCell ref="B37:B38"/>
    <mergeCell ref="A1:B1"/>
    <mergeCell ref="A5:W5"/>
    <mergeCell ref="A13:W13"/>
    <mergeCell ref="A24:D24"/>
    <mergeCell ref="A36:B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29"/>
  <sheetViews>
    <sheetView workbookViewId="0">
      <selection activeCell="F29" sqref="F29"/>
    </sheetView>
  </sheetViews>
  <sheetFormatPr defaultRowHeight="15" x14ac:dyDescent="0.25"/>
  <cols>
    <col min="1" max="1" width="45.28515625" customWidth="1"/>
    <col min="2" max="2" width="25.42578125" customWidth="1"/>
    <col min="3" max="3" width="16.7109375" customWidth="1"/>
    <col min="4" max="4" width="16.85546875" customWidth="1"/>
    <col min="7" max="7" width="9.140625" customWidth="1"/>
    <col min="10" max="10" width="11.28515625" customWidth="1"/>
    <col min="11" max="11" width="12.28515625" customWidth="1"/>
    <col min="12" max="12" width="14.7109375" customWidth="1"/>
  </cols>
  <sheetData>
    <row r="2" spans="1:12" x14ac:dyDescent="0.25">
      <c r="A2" s="38" t="s">
        <v>115</v>
      </c>
      <c r="B2" s="38" t="s">
        <v>149</v>
      </c>
      <c r="C2" t="s">
        <v>147</v>
      </c>
      <c r="D2" t="s">
        <v>148</v>
      </c>
    </row>
    <row r="3" spans="1:12" x14ac:dyDescent="0.25">
      <c r="A3" t="s">
        <v>142</v>
      </c>
      <c r="B3" s="41">
        <v>9452350.2514506727</v>
      </c>
    </row>
    <row r="4" spans="1:12" x14ac:dyDescent="0.25">
      <c r="A4" t="s">
        <v>116</v>
      </c>
      <c r="B4" s="41">
        <v>20720020.680176586</v>
      </c>
    </row>
    <row r="5" spans="1:12" x14ac:dyDescent="0.25">
      <c r="A5" t="s">
        <v>117</v>
      </c>
      <c r="B5" s="41">
        <v>835280</v>
      </c>
    </row>
    <row r="6" spans="1:12" x14ac:dyDescent="0.25">
      <c r="A6" t="s">
        <v>135</v>
      </c>
      <c r="B6" s="41">
        <v>38822192.822097108</v>
      </c>
    </row>
    <row r="7" spans="1:12" x14ac:dyDescent="0.25">
      <c r="A7" t="s">
        <v>118</v>
      </c>
      <c r="B7" s="41">
        <v>6108450</v>
      </c>
    </row>
    <row r="8" spans="1:12" x14ac:dyDescent="0.25">
      <c r="A8" s="53" t="s">
        <v>119</v>
      </c>
      <c r="B8" s="54">
        <f>SUM(B3:B7)</f>
        <v>75938293.753724366</v>
      </c>
      <c r="C8" s="74">
        <v>37662806.21502997</v>
      </c>
      <c r="D8" s="75">
        <v>54917741.550187789</v>
      </c>
    </row>
    <row r="9" spans="1:12" x14ac:dyDescent="0.25">
      <c r="C9" s="74"/>
      <c r="D9" s="75"/>
      <c r="J9" s="69"/>
      <c r="K9" s="69"/>
      <c r="L9" s="70"/>
    </row>
    <row r="10" spans="1:12" x14ac:dyDescent="0.25">
      <c r="C10" s="74"/>
      <c r="D10" s="75"/>
      <c r="J10" s="69"/>
      <c r="K10" s="71"/>
      <c r="L10" s="71"/>
    </row>
    <row r="11" spans="1:12" x14ac:dyDescent="0.25">
      <c r="A11" t="s">
        <v>121</v>
      </c>
      <c r="B11" s="38" t="s">
        <v>150</v>
      </c>
      <c r="C11" s="74"/>
      <c r="D11" s="75"/>
      <c r="J11" s="69"/>
      <c r="K11" s="69"/>
      <c r="L11" s="71"/>
    </row>
    <row r="12" spans="1:12" x14ac:dyDescent="0.25">
      <c r="A12" t="s">
        <v>145</v>
      </c>
      <c r="B12" s="41">
        <v>12395134</v>
      </c>
      <c r="C12" s="74"/>
      <c r="D12" s="75"/>
      <c r="J12" s="69"/>
      <c r="K12" s="69"/>
      <c r="L12" s="71"/>
    </row>
    <row r="13" spans="1:12" x14ac:dyDescent="0.25">
      <c r="A13" t="s">
        <v>144</v>
      </c>
      <c r="B13" s="41">
        <v>1304600</v>
      </c>
      <c r="C13" s="74"/>
      <c r="D13" s="75"/>
      <c r="J13" s="69"/>
      <c r="K13" s="69"/>
      <c r="L13" s="71"/>
    </row>
    <row r="14" spans="1:12" x14ac:dyDescent="0.25">
      <c r="A14" t="s">
        <v>124</v>
      </c>
      <c r="B14" s="41">
        <v>1000000</v>
      </c>
      <c r="C14" s="74"/>
      <c r="D14" s="75"/>
      <c r="J14" s="69"/>
      <c r="K14" s="69"/>
      <c r="L14" s="71"/>
    </row>
    <row r="15" spans="1:12" x14ac:dyDescent="0.25">
      <c r="A15" t="s">
        <v>125</v>
      </c>
      <c r="C15" s="74"/>
      <c r="D15" s="75"/>
      <c r="J15" s="69"/>
      <c r="K15" s="71"/>
      <c r="L15" s="71"/>
    </row>
    <row r="16" spans="1:12" x14ac:dyDescent="0.25">
      <c r="A16" t="s">
        <v>126</v>
      </c>
      <c r="B16" s="41">
        <v>1200000</v>
      </c>
      <c r="C16" s="74"/>
      <c r="D16" s="75"/>
      <c r="J16" s="69"/>
      <c r="K16" s="69"/>
      <c r="L16" s="71"/>
    </row>
    <row r="17" spans="1:12" x14ac:dyDescent="0.25">
      <c r="A17" t="s">
        <v>127</v>
      </c>
      <c r="B17" s="41">
        <v>232320</v>
      </c>
      <c r="C17" s="74"/>
      <c r="D17" s="75"/>
      <c r="J17" s="69"/>
      <c r="K17" s="69"/>
      <c r="L17" s="71"/>
    </row>
    <row r="18" spans="1:12" x14ac:dyDescent="0.25">
      <c r="A18" t="s">
        <v>128</v>
      </c>
      <c r="B18" s="41">
        <v>10000</v>
      </c>
      <c r="C18" s="75"/>
      <c r="D18" s="75"/>
      <c r="J18" s="69"/>
      <c r="K18" s="69"/>
      <c r="L18" s="71"/>
    </row>
    <row r="19" spans="1:12" x14ac:dyDescent="0.25">
      <c r="A19" t="s">
        <v>129</v>
      </c>
      <c r="B19" s="41">
        <v>408000</v>
      </c>
      <c r="C19" s="74"/>
      <c r="D19" s="75"/>
      <c r="J19" s="69"/>
      <c r="K19" s="69"/>
      <c r="L19" s="71"/>
    </row>
    <row r="20" spans="1:12" x14ac:dyDescent="0.25">
      <c r="A20" s="38" t="s">
        <v>130</v>
      </c>
      <c r="B20" s="55">
        <f>SUM(B12:B19)</f>
        <v>16550054</v>
      </c>
      <c r="C20" s="74">
        <v>15658454.255999997</v>
      </c>
      <c r="D20" s="75">
        <v>16063396.032</v>
      </c>
      <c r="J20" s="69"/>
      <c r="K20" s="71"/>
      <c r="L20" s="71"/>
    </row>
    <row r="21" spans="1:12" x14ac:dyDescent="0.25">
      <c r="C21" s="74"/>
      <c r="D21" s="74"/>
      <c r="J21" s="69"/>
      <c r="K21" s="69"/>
      <c r="L21" s="69"/>
    </row>
    <row r="22" spans="1:12" x14ac:dyDescent="0.25">
      <c r="A22" t="s">
        <v>151</v>
      </c>
      <c r="C22" s="74">
        <f>C8-C20</f>
        <v>22004351.959029973</v>
      </c>
      <c r="D22" s="74">
        <f>D8-D20</f>
        <v>38854345.518187791</v>
      </c>
      <c r="J22" s="69"/>
      <c r="K22" s="69"/>
      <c r="L22" s="70"/>
    </row>
    <row r="23" spans="1:12" x14ac:dyDescent="0.25">
      <c r="A23" t="s">
        <v>152</v>
      </c>
      <c r="C23" s="76">
        <f>C8/C20</f>
        <v>2.4052697411430861</v>
      </c>
      <c r="D23" s="76">
        <f>D8/D20</f>
        <v>3.4188126496281224</v>
      </c>
      <c r="J23" s="69"/>
      <c r="K23" s="71"/>
      <c r="L23" s="71"/>
    </row>
    <row r="24" spans="1:12" x14ac:dyDescent="0.25">
      <c r="J24" s="69"/>
      <c r="K24" s="69"/>
      <c r="L24" s="72"/>
    </row>
    <row r="25" spans="1:12" x14ac:dyDescent="0.25">
      <c r="J25" s="69"/>
      <c r="K25" s="71"/>
      <c r="L25" s="71"/>
    </row>
    <row r="26" spans="1:12" x14ac:dyDescent="0.25">
      <c r="J26" s="73"/>
      <c r="K26" s="71"/>
      <c r="L26" s="71"/>
    </row>
    <row r="27" spans="1:12" x14ac:dyDescent="0.25">
      <c r="D27" s="71"/>
      <c r="J27" s="69"/>
      <c r="K27" s="69"/>
      <c r="L27" s="71"/>
    </row>
    <row r="28" spans="1:12" x14ac:dyDescent="0.25">
      <c r="J28" s="69"/>
      <c r="K28" s="69"/>
      <c r="L28" s="71"/>
    </row>
    <row r="29" spans="1:12" x14ac:dyDescent="0.25">
      <c r="J29" s="72"/>
      <c r="K29" s="69"/>
      <c r="L29" s="7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G15" sqref="G15"/>
    </sheetView>
  </sheetViews>
  <sheetFormatPr defaultRowHeight="15" x14ac:dyDescent="0.25"/>
  <cols>
    <col min="1" max="1" width="26" customWidth="1"/>
    <col min="2" max="2" width="31.28515625" customWidth="1"/>
    <col min="3" max="3" width="19.28515625" customWidth="1"/>
    <col min="4" max="4" width="18.85546875" customWidth="1"/>
    <col min="5" max="5" width="18.140625" customWidth="1"/>
    <col min="6" max="6" width="12.7109375" bestFit="1" customWidth="1"/>
  </cols>
  <sheetData>
    <row r="1" spans="1:6" x14ac:dyDescent="0.25">
      <c r="A1" t="s">
        <v>153</v>
      </c>
    </row>
    <row r="2" spans="1:6" x14ac:dyDescent="0.25">
      <c r="A2" s="57"/>
      <c r="B2" s="57">
        <v>2015</v>
      </c>
      <c r="C2" s="57">
        <v>2034</v>
      </c>
      <c r="D2" s="57">
        <v>2034</v>
      </c>
    </row>
    <row r="3" spans="1:6" ht="45" x14ac:dyDescent="0.25">
      <c r="A3" s="57" t="s">
        <v>154</v>
      </c>
      <c r="B3" s="58" t="s">
        <v>157</v>
      </c>
      <c r="C3" s="58" t="s">
        <v>155</v>
      </c>
      <c r="D3" s="58" t="s">
        <v>156</v>
      </c>
      <c r="E3" s="56"/>
    </row>
    <row r="4" spans="1:6" x14ac:dyDescent="0.25">
      <c r="A4" s="57" t="s">
        <v>159</v>
      </c>
      <c r="B4" s="57">
        <v>181</v>
      </c>
      <c r="C4" s="57">
        <v>251</v>
      </c>
      <c r="D4" s="59">
        <v>226</v>
      </c>
    </row>
    <row r="5" spans="1:6" x14ac:dyDescent="0.25">
      <c r="A5" s="57" t="s">
        <v>160</v>
      </c>
      <c r="B5" s="57">
        <v>167</v>
      </c>
      <c r="C5" s="57">
        <v>199</v>
      </c>
      <c r="D5" s="57">
        <v>194</v>
      </c>
    </row>
    <row r="6" spans="1:6" x14ac:dyDescent="0.25">
      <c r="A6" t="s">
        <v>158</v>
      </c>
    </row>
    <row r="9" spans="1:6" x14ac:dyDescent="0.25">
      <c r="A9" t="s">
        <v>161</v>
      </c>
    </row>
    <row r="10" spans="1:6" x14ac:dyDescent="0.25">
      <c r="A10" s="38" t="s">
        <v>162</v>
      </c>
      <c r="B10" t="s">
        <v>165</v>
      </c>
      <c r="C10" t="s">
        <v>164</v>
      </c>
      <c r="D10" t="s">
        <v>163</v>
      </c>
      <c r="E10" t="s">
        <v>166</v>
      </c>
      <c r="F10" t="s">
        <v>167</v>
      </c>
    </row>
    <row r="11" spans="1:6" x14ac:dyDescent="0.25">
      <c r="A11">
        <f>C4-D4</f>
        <v>25</v>
      </c>
      <c r="B11">
        <f>17240*25</f>
        <v>431000</v>
      </c>
      <c r="C11">
        <f>B11/60</f>
        <v>7183.333333333333</v>
      </c>
      <c r="D11">
        <f>C11/60</f>
        <v>119.72222222222221</v>
      </c>
      <c r="E11">
        <f>D11*365</f>
        <v>43698.611111111109</v>
      </c>
      <c r="F11" s="41">
        <f>E11*13.11</f>
        <v>572888.79166666663</v>
      </c>
    </row>
    <row r="12" spans="1:6" x14ac:dyDescent="0.25">
      <c r="A12" t="s">
        <v>169</v>
      </c>
    </row>
    <row r="13" spans="1:6" x14ac:dyDescent="0.25">
      <c r="A13" s="38" t="s">
        <v>162</v>
      </c>
      <c r="B13" t="s">
        <v>165</v>
      </c>
      <c r="C13" t="s">
        <v>164</v>
      </c>
      <c r="D13" t="s">
        <v>163</v>
      </c>
      <c r="E13" t="s">
        <v>166</v>
      </c>
      <c r="F13" t="s">
        <v>167</v>
      </c>
    </row>
    <row r="14" spans="1:6" x14ac:dyDescent="0.25">
      <c r="A14">
        <v>5</v>
      </c>
      <c r="B14">
        <f>17240*5</f>
        <v>86200</v>
      </c>
      <c r="C14">
        <f>B14/60</f>
        <v>1436.6666666666667</v>
      </c>
      <c r="D14">
        <f>C14/60</f>
        <v>23.944444444444446</v>
      </c>
      <c r="E14">
        <f>D14*365</f>
        <v>8739.7222222222226</v>
      </c>
      <c r="F14" s="41">
        <f>E14*13.11</f>
        <v>114577.75833333333</v>
      </c>
    </row>
    <row r="16" spans="1:6" x14ac:dyDescent="0.25">
      <c r="A16" t="s">
        <v>170</v>
      </c>
    </row>
    <row r="17" spans="1:6" x14ac:dyDescent="0.25">
      <c r="A17" t="s">
        <v>171</v>
      </c>
    </row>
    <row r="18" spans="1:6" x14ac:dyDescent="0.25">
      <c r="A18">
        <v>70</v>
      </c>
      <c r="B18">
        <f>A18*17240</f>
        <v>1206800</v>
      </c>
      <c r="C18">
        <f>B18/60</f>
        <v>20113.333333333332</v>
      </c>
      <c r="D18">
        <f>C18/60</f>
        <v>335.22222222222223</v>
      </c>
      <c r="E18">
        <f>D18*365</f>
        <v>122356.11111111111</v>
      </c>
      <c r="F18" s="41">
        <f>E18*13.11</f>
        <v>1604088.6166666665</v>
      </c>
    </row>
    <row r="19" spans="1:6" x14ac:dyDescent="0.25">
      <c r="A19" t="s">
        <v>172</v>
      </c>
      <c r="F19" s="41"/>
    </row>
    <row r="20" spans="1:6" x14ac:dyDescent="0.25">
      <c r="A20">
        <v>32</v>
      </c>
      <c r="B20">
        <f>A20*17240</f>
        <v>551680</v>
      </c>
      <c r="C20">
        <f>B20/60</f>
        <v>9194.6666666666661</v>
      </c>
      <c r="D20">
        <f>C20/60</f>
        <v>153.24444444444444</v>
      </c>
      <c r="E20">
        <f>D20*365</f>
        <v>55934.222222222219</v>
      </c>
      <c r="F20" s="41">
        <f>E20*13.11</f>
        <v>733297.6533333332</v>
      </c>
    </row>
    <row r="21" spans="1:6" x14ac:dyDescent="0.25">
      <c r="A21" t="s">
        <v>168</v>
      </c>
    </row>
    <row r="23" spans="1:6" x14ac:dyDescent="0.25">
      <c r="A23" t="s">
        <v>168</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7"/>
  <sheetViews>
    <sheetView workbookViewId="0">
      <selection activeCell="E22" sqref="E22"/>
    </sheetView>
  </sheetViews>
  <sheetFormatPr defaultColWidth="8.85546875" defaultRowHeight="15" x14ac:dyDescent="0.25"/>
  <cols>
    <col min="1" max="1" width="8.85546875" style="1"/>
    <col min="2" max="4" width="30.7109375" style="1" customWidth="1"/>
    <col min="5" max="6" width="8.85546875" style="1"/>
    <col min="7" max="7" width="12.28515625" style="1" bestFit="1" customWidth="1"/>
    <col min="8" max="16384" width="8.85546875" style="1"/>
  </cols>
  <sheetData>
    <row r="1" spans="2:21" ht="16.5" thickBot="1" x14ac:dyDescent="0.3">
      <c r="B1" s="64" t="s">
        <v>46</v>
      </c>
      <c r="C1" s="64"/>
      <c r="D1" s="64"/>
      <c r="G1" s="65" t="s">
        <v>17</v>
      </c>
      <c r="H1" s="61"/>
      <c r="I1" s="61"/>
      <c r="J1" s="61"/>
      <c r="K1" s="61"/>
      <c r="L1" s="61"/>
      <c r="M1" s="9"/>
      <c r="N1" s="9"/>
      <c r="O1" s="9"/>
      <c r="P1" s="9"/>
      <c r="Q1" s="9"/>
      <c r="R1" s="9"/>
      <c r="S1" s="9"/>
      <c r="T1" s="9"/>
      <c r="U1" s="9"/>
    </row>
    <row r="2" spans="2:21" ht="16.5" thickBot="1" x14ac:dyDescent="0.3">
      <c r="B2" s="5" t="s">
        <v>44</v>
      </c>
      <c r="C2" s="13" t="s">
        <v>45</v>
      </c>
      <c r="D2" s="5" t="s">
        <v>47</v>
      </c>
      <c r="G2" s="65" t="s">
        <v>18</v>
      </c>
      <c r="H2" s="61"/>
      <c r="I2" s="61"/>
      <c r="J2" s="61"/>
      <c r="K2" s="61"/>
      <c r="L2" s="61"/>
      <c r="M2" s="9"/>
      <c r="N2" s="9"/>
      <c r="O2" s="9"/>
      <c r="P2" s="9"/>
      <c r="Q2" s="9"/>
      <c r="R2" s="9"/>
      <c r="S2" s="9"/>
      <c r="T2" s="9"/>
      <c r="U2" s="9"/>
    </row>
    <row r="3" spans="2:21" x14ac:dyDescent="0.25">
      <c r="B3" s="6">
        <v>2000</v>
      </c>
      <c r="C3" s="14">
        <v>172.19999999999996</v>
      </c>
      <c r="D3" s="17">
        <f>$C$18/C3</f>
        <v>1.3663574332171895</v>
      </c>
      <c r="G3" s="61"/>
      <c r="H3" s="61"/>
      <c r="I3" s="61"/>
      <c r="J3" s="61"/>
      <c r="K3" s="61"/>
      <c r="L3" s="61"/>
      <c r="M3" s="9"/>
      <c r="N3" s="9"/>
      <c r="O3" s="9"/>
      <c r="P3" s="9"/>
      <c r="Q3" s="9"/>
      <c r="R3" s="9"/>
      <c r="S3" s="9"/>
      <c r="T3" s="9"/>
      <c r="U3" s="9"/>
    </row>
    <row r="4" spans="2:21" x14ac:dyDescent="0.25">
      <c r="B4" s="7">
        <v>2001</v>
      </c>
      <c r="C4" s="15">
        <v>177.06666666666663</v>
      </c>
      <c r="D4" s="18">
        <f t="shared" ref="D4:D18" si="0">$C$18/C4</f>
        <v>1.3288031814759038</v>
      </c>
      <c r="G4" s="10" t="s">
        <v>19</v>
      </c>
      <c r="H4" s="62" t="s">
        <v>20</v>
      </c>
      <c r="I4" s="61"/>
      <c r="J4" s="61"/>
      <c r="K4" s="61"/>
      <c r="L4" s="61"/>
      <c r="M4" s="9"/>
      <c r="N4" s="9"/>
      <c r="O4" s="9"/>
      <c r="P4" s="9"/>
      <c r="Q4" s="9"/>
      <c r="R4" s="9"/>
      <c r="S4" s="9"/>
      <c r="T4" s="9"/>
      <c r="U4" s="9"/>
    </row>
    <row r="5" spans="2:21" x14ac:dyDescent="0.25">
      <c r="B5" s="7">
        <v>2002</v>
      </c>
      <c r="C5" s="15">
        <v>179.875</v>
      </c>
      <c r="D5" s="18">
        <f t="shared" si="0"/>
        <v>1.3080569840166782</v>
      </c>
      <c r="G5" s="60" t="s">
        <v>15</v>
      </c>
      <c r="H5" s="61"/>
      <c r="I5" s="61"/>
      <c r="J5" s="61"/>
      <c r="K5" s="61"/>
      <c r="L5" s="61"/>
      <c r="M5" s="9"/>
      <c r="N5" s="9"/>
      <c r="O5" s="9"/>
      <c r="P5" s="9"/>
      <c r="Q5" s="9"/>
      <c r="R5" s="9"/>
      <c r="S5" s="9"/>
      <c r="T5" s="9"/>
      <c r="U5" s="9"/>
    </row>
    <row r="6" spans="2:21" x14ac:dyDescent="0.25">
      <c r="B6" s="7">
        <v>2003</v>
      </c>
      <c r="C6" s="15">
        <v>183.95833333333334</v>
      </c>
      <c r="D6" s="18">
        <f t="shared" si="0"/>
        <v>1.2790219705549262</v>
      </c>
      <c r="G6" s="10" t="s">
        <v>21</v>
      </c>
      <c r="H6" s="62" t="s">
        <v>22</v>
      </c>
      <c r="I6" s="61"/>
      <c r="J6" s="61"/>
      <c r="K6" s="61"/>
      <c r="L6" s="61"/>
      <c r="M6" s="9"/>
      <c r="N6" s="9"/>
      <c r="O6" s="9"/>
      <c r="P6" s="9"/>
      <c r="Q6" s="9"/>
      <c r="R6" s="9"/>
      <c r="S6" s="9"/>
      <c r="T6" s="9"/>
      <c r="U6" s="9"/>
    </row>
    <row r="7" spans="2:21" x14ac:dyDescent="0.25">
      <c r="B7" s="7">
        <v>2004</v>
      </c>
      <c r="C7" s="15">
        <v>188.88333333333335</v>
      </c>
      <c r="D7" s="18">
        <f t="shared" si="0"/>
        <v>1.2456723727168444</v>
      </c>
      <c r="G7" s="10" t="s">
        <v>23</v>
      </c>
      <c r="H7" s="62" t="s">
        <v>24</v>
      </c>
      <c r="I7" s="61"/>
      <c r="J7" s="61"/>
      <c r="K7" s="61"/>
      <c r="L7" s="61"/>
      <c r="M7" s="9"/>
      <c r="N7" s="9"/>
      <c r="O7" s="9"/>
      <c r="P7" s="9"/>
      <c r="Q7" s="9"/>
      <c r="R7" s="9"/>
      <c r="S7" s="9"/>
      <c r="T7" s="9"/>
      <c r="U7" s="9"/>
    </row>
    <row r="8" spans="2:21" x14ac:dyDescent="0.25">
      <c r="B8" s="7">
        <v>2005</v>
      </c>
      <c r="C8" s="15">
        <v>195.29166666666671</v>
      </c>
      <c r="D8" s="18">
        <f t="shared" si="0"/>
        <v>1.2047966716449752</v>
      </c>
      <c r="G8" s="10" t="s">
        <v>25</v>
      </c>
      <c r="H8" s="62" t="s">
        <v>26</v>
      </c>
      <c r="I8" s="61"/>
      <c r="J8" s="61"/>
      <c r="K8" s="61"/>
      <c r="L8" s="61"/>
      <c r="M8" s="9"/>
      <c r="N8" s="9"/>
      <c r="O8" s="9"/>
      <c r="P8" s="9"/>
      <c r="Q8" s="9"/>
      <c r="R8" s="9"/>
      <c r="S8" s="9"/>
      <c r="T8" s="9"/>
      <c r="U8" s="9"/>
    </row>
    <row r="9" spans="2:21" x14ac:dyDescent="0.25">
      <c r="B9" s="7">
        <v>2006</v>
      </c>
      <c r="C9" s="15">
        <v>201.5916666666667</v>
      </c>
      <c r="D9" s="18">
        <f t="shared" si="0"/>
        <v>1.1671452192964322</v>
      </c>
      <c r="G9" s="10" t="s">
        <v>27</v>
      </c>
      <c r="H9" s="63" t="s">
        <v>28</v>
      </c>
      <c r="I9" s="61"/>
      <c r="J9" s="61"/>
      <c r="K9" s="61"/>
      <c r="L9" s="61"/>
      <c r="M9" s="9"/>
      <c r="N9" s="9"/>
      <c r="O9" s="9"/>
      <c r="P9" s="9"/>
      <c r="Q9" s="9"/>
      <c r="R9" s="9"/>
      <c r="S9" s="9"/>
      <c r="T9" s="9"/>
      <c r="U9" s="9"/>
    </row>
    <row r="10" spans="2:21" x14ac:dyDescent="0.25">
      <c r="B10" s="7">
        <v>2007</v>
      </c>
      <c r="C10" s="15">
        <v>207.34241666666671</v>
      </c>
      <c r="D10" s="18">
        <f t="shared" si="0"/>
        <v>1.1347738382844157</v>
      </c>
    </row>
    <row r="11" spans="2:21" ht="15.75" thickBot="1" x14ac:dyDescent="0.3">
      <c r="B11" s="7">
        <v>2008</v>
      </c>
      <c r="C11" s="15">
        <v>215.30250000000001</v>
      </c>
      <c r="D11" s="18">
        <f t="shared" si="0"/>
        <v>1.0928194052553963</v>
      </c>
      <c r="G11" s="11" t="s">
        <v>29</v>
      </c>
      <c r="H11" s="11" t="s">
        <v>30</v>
      </c>
      <c r="I11" s="11" t="s">
        <v>31</v>
      </c>
      <c r="J11" s="11" t="s">
        <v>32</v>
      </c>
      <c r="K11" s="11" t="s">
        <v>33</v>
      </c>
      <c r="L11" s="11" t="s">
        <v>34</v>
      </c>
      <c r="M11" s="11" t="s">
        <v>35</v>
      </c>
      <c r="N11" s="11" t="s">
        <v>36</v>
      </c>
      <c r="O11" s="11" t="s">
        <v>37</v>
      </c>
      <c r="P11" s="11" t="s">
        <v>38</v>
      </c>
      <c r="Q11" s="11" t="s">
        <v>39</v>
      </c>
      <c r="R11" s="11" t="s">
        <v>40</v>
      </c>
      <c r="S11" s="11" t="s">
        <v>41</v>
      </c>
      <c r="T11" s="11" t="s">
        <v>42</v>
      </c>
      <c r="U11" s="11" t="s">
        <v>43</v>
      </c>
    </row>
    <row r="12" spans="2:21" ht="15.75" thickTop="1" x14ac:dyDescent="0.25">
      <c r="B12" s="7">
        <v>2009</v>
      </c>
      <c r="C12" s="15">
        <v>214.53700000000001</v>
      </c>
      <c r="D12" s="18">
        <f t="shared" si="0"/>
        <v>1.0967187478150622</v>
      </c>
      <c r="G12" s="2">
        <v>1980</v>
      </c>
      <c r="H12" s="3">
        <v>77.8</v>
      </c>
      <c r="I12" s="3">
        <v>78.900000000000006</v>
      </c>
      <c r="J12" s="3">
        <v>80.099999999999994</v>
      </c>
      <c r="K12" s="3">
        <v>81</v>
      </c>
      <c r="L12" s="3">
        <v>81.8</v>
      </c>
      <c r="M12" s="3">
        <v>82.7</v>
      </c>
      <c r="N12" s="3">
        <v>82.7</v>
      </c>
      <c r="O12" s="3">
        <v>83.3</v>
      </c>
      <c r="P12" s="3">
        <v>84</v>
      </c>
      <c r="Q12" s="3">
        <v>84.8</v>
      </c>
      <c r="R12" s="3">
        <v>85.5</v>
      </c>
      <c r="S12" s="3">
        <v>86.3</v>
      </c>
      <c r="T12" s="9"/>
      <c r="U12" s="9"/>
    </row>
    <row r="13" spans="2:21" x14ac:dyDescent="0.25">
      <c r="B13" s="7">
        <v>2010</v>
      </c>
      <c r="C13" s="15">
        <v>218.05550000000002</v>
      </c>
      <c r="D13" s="18">
        <f t="shared" si="0"/>
        <v>1.0790223131267038</v>
      </c>
      <c r="G13" s="2">
        <v>1981</v>
      </c>
      <c r="H13" s="3">
        <v>87</v>
      </c>
      <c r="I13" s="3">
        <v>87.9</v>
      </c>
      <c r="J13" s="3">
        <v>88.5</v>
      </c>
      <c r="K13" s="3">
        <v>89.1</v>
      </c>
      <c r="L13" s="3">
        <v>89.8</v>
      </c>
      <c r="M13" s="3">
        <v>90.6</v>
      </c>
      <c r="N13" s="3">
        <v>91.6</v>
      </c>
      <c r="O13" s="3">
        <v>92.3</v>
      </c>
      <c r="P13" s="3">
        <v>93.2</v>
      </c>
      <c r="Q13" s="3">
        <v>93.4</v>
      </c>
      <c r="R13" s="3">
        <v>93.7</v>
      </c>
      <c r="S13" s="3">
        <v>94</v>
      </c>
      <c r="T13" s="9"/>
      <c r="U13" s="9"/>
    </row>
    <row r="14" spans="2:21" x14ac:dyDescent="0.25">
      <c r="B14" s="7">
        <v>2011</v>
      </c>
      <c r="C14" s="15">
        <v>224.93916666666667</v>
      </c>
      <c r="D14" s="18">
        <f t="shared" si="0"/>
        <v>1.0460016967550485</v>
      </c>
      <c r="G14" s="2">
        <v>1982</v>
      </c>
      <c r="H14" s="3">
        <v>94.3</v>
      </c>
      <c r="I14" s="3">
        <v>94.6</v>
      </c>
      <c r="J14" s="3">
        <v>94.5</v>
      </c>
      <c r="K14" s="3">
        <v>94.9</v>
      </c>
      <c r="L14" s="3">
        <v>95.8</v>
      </c>
      <c r="M14" s="3">
        <v>97</v>
      </c>
      <c r="N14" s="3">
        <v>97.5</v>
      </c>
      <c r="O14" s="3">
        <v>97.7</v>
      </c>
      <c r="P14" s="3">
        <v>97.9</v>
      </c>
      <c r="Q14" s="3">
        <v>98.2</v>
      </c>
      <c r="R14" s="3">
        <v>98</v>
      </c>
      <c r="S14" s="3">
        <v>97.6</v>
      </c>
      <c r="T14" s="9"/>
      <c r="U14" s="9"/>
    </row>
    <row r="15" spans="2:21" x14ac:dyDescent="0.25">
      <c r="B15" s="7">
        <v>2012</v>
      </c>
      <c r="C15" s="15">
        <v>229.5939166666667</v>
      </c>
      <c r="D15" s="18">
        <f t="shared" si="0"/>
        <v>1.0247952272254599</v>
      </c>
      <c r="G15" s="2">
        <v>1983</v>
      </c>
      <c r="H15" s="3">
        <v>97.8</v>
      </c>
      <c r="I15" s="3">
        <v>97.9</v>
      </c>
      <c r="J15" s="3">
        <v>97.9</v>
      </c>
      <c r="K15" s="3">
        <v>98.6</v>
      </c>
      <c r="L15" s="3">
        <v>99.2</v>
      </c>
      <c r="M15" s="3">
        <v>99.5</v>
      </c>
      <c r="N15" s="3">
        <v>99.9</v>
      </c>
      <c r="O15" s="3">
        <v>100.2</v>
      </c>
      <c r="P15" s="3">
        <v>100.7</v>
      </c>
      <c r="Q15" s="3">
        <v>101</v>
      </c>
      <c r="R15" s="3">
        <v>101.2</v>
      </c>
      <c r="S15" s="3">
        <v>101.3</v>
      </c>
      <c r="T15" s="9"/>
      <c r="U15" s="9"/>
    </row>
    <row r="16" spans="2:21" x14ac:dyDescent="0.25">
      <c r="B16" s="7">
        <v>2013</v>
      </c>
      <c r="C16" s="15">
        <v>232.95708333333332</v>
      </c>
      <c r="D16" s="18">
        <f t="shared" si="0"/>
        <v>1.0100004113776322</v>
      </c>
      <c r="G16" s="2">
        <v>1984</v>
      </c>
      <c r="H16" s="3">
        <v>101.9</v>
      </c>
      <c r="I16" s="3">
        <v>102.4</v>
      </c>
      <c r="J16" s="3">
        <v>102.6</v>
      </c>
      <c r="K16" s="3">
        <v>103.1</v>
      </c>
      <c r="L16" s="3">
        <v>103.4</v>
      </c>
      <c r="M16" s="3">
        <v>103.7</v>
      </c>
      <c r="N16" s="3">
        <v>104.1</v>
      </c>
      <c r="O16" s="3">
        <v>104.5</v>
      </c>
      <c r="P16" s="3">
        <v>105</v>
      </c>
      <c r="Q16" s="3">
        <v>105.3</v>
      </c>
      <c r="R16" s="3">
        <v>105.3</v>
      </c>
      <c r="S16" s="3">
        <v>105.3</v>
      </c>
      <c r="T16" s="3">
        <v>102.9</v>
      </c>
      <c r="U16" s="3">
        <v>104.9</v>
      </c>
    </row>
    <row r="17" spans="2:21" x14ac:dyDescent="0.25">
      <c r="B17" s="7">
        <v>2014</v>
      </c>
      <c r="C17" s="15">
        <v>236.73616666666666</v>
      </c>
      <c r="D17" s="18">
        <f t="shared" si="0"/>
        <v>0.99387750217013726</v>
      </c>
      <c r="G17" s="2">
        <v>1985</v>
      </c>
      <c r="H17" s="3">
        <v>105.5</v>
      </c>
      <c r="I17" s="3">
        <v>106</v>
      </c>
      <c r="J17" s="3">
        <v>106.4</v>
      </c>
      <c r="K17" s="3">
        <v>106.9</v>
      </c>
      <c r="L17" s="3">
        <v>107.3</v>
      </c>
      <c r="M17" s="3">
        <v>107.6</v>
      </c>
      <c r="N17" s="3">
        <v>107.8</v>
      </c>
      <c r="O17" s="3">
        <v>108</v>
      </c>
      <c r="P17" s="3">
        <v>108.3</v>
      </c>
      <c r="Q17" s="3">
        <v>108.7</v>
      </c>
      <c r="R17" s="3">
        <v>109</v>
      </c>
      <c r="S17" s="3">
        <v>109.3</v>
      </c>
      <c r="T17" s="3">
        <v>106.6</v>
      </c>
      <c r="U17" s="3">
        <v>108.5</v>
      </c>
    </row>
    <row r="18" spans="2:21" ht="15.75" thickBot="1" x14ac:dyDescent="0.3">
      <c r="B18" s="8">
        <v>2015</v>
      </c>
      <c r="C18" s="16">
        <v>235.28674999999998</v>
      </c>
      <c r="D18" s="19">
        <f t="shared" si="0"/>
        <v>1</v>
      </c>
      <c r="G18" s="2">
        <v>1986</v>
      </c>
      <c r="H18" s="3">
        <v>109.6</v>
      </c>
      <c r="I18" s="3">
        <v>109.3</v>
      </c>
      <c r="J18" s="3">
        <v>108.8</v>
      </c>
      <c r="K18" s="3">
        <v>108.6</v>
      </c>
      <c r="L18" s="3">
        <v>108.9</v>
      </c>
      <c r="M18" s="3">
        <v>109.5</v>
      </c>
      <c r="N18" s="3">
        <v>109.5</v>
      </c>
      <c r="O18" s="3">
        <v>109.7</v>
      </c>
      <c r="P18" s="3">
        <v>110.2</v>
      </c>
      <c r="Q18" s="3">
        <v>110.3</v>
      </c>
      <c r="R18" s="3">
        <v>110.4</v>
      </c>
      <c r="S18" s="3">
        <v>110.5</v>
      </c>
      <c r="T18" s="3">
        <v>109.1</v>
      </c>
      <c r="U18" s="3">
        <v>110.1</v>
      </c>
    </row>
    <row r="19" spans="2:21" x14ac:dyDescent="0.25">
      <c r="C19" s="12"/>
      <c r="G19" s="2">
        <v>1987</v>
      </c>
      <c r="H19" s="3">
        <v>111.2</v>
      </c>
      <c r="I19" s="3">
        <v>111.6</v>
      </c>
      <c r="J19" s="3">
        <v>112.1</v>
      </c>
      <c r="K19" s="3">
        <v>112.7</v>
      </c>
      <c r="L19" s="3">
        <v>113.1</v>
      </c>
      <c r="M19" s="3">
        <v>113.5</v>
      </c>
      <c r="N19" s="3">
        <v>113.8</v>
      </c>
      <c r="O19" s="3">
        <v>114.4</v>
      </c>
      <c r="P19" s="3">
        <v>115</v>
      </c>
      <c r="Q19" s="3">
        <v>115.3</v>
      </c>
      <c r="R19" s="3">
        <v>115.4</v>
      </c>
      <c r="S19" s="3">
        <v>115.4</v>
      </c>
      <c r="T19" s="3">
        <v>112.4</v>
      </c>
      <c r="U19" s="3">
        <v>114.9</v>
      </c>
    </row>
    <row r="20" spans="2:21" x14ac:dyDescent="0.25">
      <c r="B20" s="1" t="s">
        <v>48</v>
      </c>
      <c r="C20" s="12"/>
      <c r="G20" s="2">
        <v>1988</v>
      </c>
      <c r="H20" s="3">
        <v>115.7</v>
      </c>
      <c r="I20" s="3">
        <v>116</v>
      </c>
      <c r="J20" s="3">
        <v>116.5</v>
      </c>
      <c r="K20" s="3">
        <v>117.1</v>
      </c>
      <c r="L20" s="3">
        <v>117.5</v>
      </c>
      <c r="M20" s="3">
        <v>118</v>
      </c>
      <c r="N20" s="3">
        <v>118.5</v>
      </c>
      <c r="O20" s="3">
        <v>119</v>
      </c>
      <c r="P20" s="3">
        <v>119.8</v>
      </c>
      <c r="Q20" s="3">
        <v>120.2</v>
      </c>
      <c r="R20" s="3">
        <v>120.3</v>
      </c>
      <c r="S20" s="3">
        <v>120.5</v>
      </c>
      <c r="T20" s="3">
        <v>116.8</v>
      </c>
      <c r="U20" s="3">
        <v>119.7</v>
      </c>
    </row>
    <row r="21" spans="2:21" x14ac:dyDescent="0.25">
      <c r="B21" s="1" t="s">
        <v>50</v>
      </c>
      <c r="C21" s="12"/>
      <c r="G21" s="2">
        <v>1989</v>
      </c>
      <c r="H21" s="3">
        <v>121.1</v>
      </c>
      <c r="I21" s="3">
        <v>121.6</v>
      </c>
      <c r="J21" s="3">
        <v>122.3</v>
      </c>
      <c r="K21" s="3">
        <v>123.1</v>
      </c>
      <c r="L21" s="3">
        <v>123.8</v>
      </c>
      <c r="M21" s="3">
        <v>124.1</v>
      </c>
      <c r="N21" s="3">
        <v>124.4</v>
      </c>
      <c r="O21" s="3">
        <v>124.6</v>
      </c>
      <c r="P21" s="3">
        <v>125</v>
      </c>
      <c r="Q21" s="3">
        <v>125.6</v>
      </c>
      <c r="R21" s="3">
        <v>125.9</v>
      </c>
      <c r="S21" s="3">
        <v>126.1</v>
      </c>
      <c r="T21" s="3">
        <v>122.7</v>
      </c>
      <c r="U21" s="3">
        <v>125.3</v>
      </c>
    </row>
    <row r="22" spans="2:21" x14ac:dyDescent="0.25">
      <c r="B22" s="1" t="s">
        <v>49</v>
      </c>
      <c r="C22" s="12"/>
      <c r="G22" s="2">
        <v>1990</v>
      </c>
      <c r="H22" s="3">
        <v>127.4</v>
      </c>
      <c r="I22" s="3">
        <v>128</v>
      </c>
      <c r="J22" s="3">
        <v>128.69999999999999</v>
      </c>
      <c r="K22" s="3">
        <v>128.9</v>
      </c>
      <c r="L22" s="3">
        <v>129.19999999999999</v>
      </c>
      <c r="M22" s="3">
        <v>129.9</v>
      </c>
      <c r="N22" s="3">
        <v>130.4</v>
      </c>
      <c r="O22" s="3">
        <v>131.6</v>
      </c>
      <c r="P22" s="3">
        <v>132.69999999999999</v>
      </c>
      <c r="Q22" s="3">
        <v>133.5</v>
      </c>
      <c r="R22" s="3">
        <v>133.80000000000001</v>
      </c>
      <c r="S22" s="3">
        <v>133.80000000000001</v>
      </c>
      <c r="T22" s="3">
        <v>128.69999999999999</v>
      </c>
      <c r="U22" s="3">
        <v>132.6</v>
      </c>
    </row>
    <row r="23" spans="2:21" x14ac:dyDescent="0.25">
      <c r="C23" s="12"/>
      <c r="G23" s="2">
        <v>1991</v>
      </c>
      <c r="H23" s="3">
        <v>134.6</v>
      </c>
      <c r="I23" s="3">
        <v>134.80000000000001</v>
      </c>
      <c r="J23" s="3">
        <v>135</v>
      </c>
      <c r="K23" s="3">
        <v>135.19999999999999</v>
      </c>
      <c r="L23" s="3">
        <v>135.6</v>
      </c>
      <c r="M23" s="3">
        <v>136</v>
      </c>
      <c r="N23" s="3">
        <v>136.19999999999999</v>
      </c>
      <c r="O23" s="3">
        <v>136.6</v>
      </c>
      <c r="P23" s="3">
        <v>137.19999999999999</v>
      </c>
      <c r="Q23" s="3">
        <v>137.4</v>
      </c>
      <c r="R23" s="3">
        <v>137.80000000000001</v>
      </c>
      <c r="S23" s="3">
        <v>137.9</v>
      </c>
      <c r="T23" s="3">
        <v>135.19999999999999</v>
      </c>
      <c r="U23" s="3">
        <v>137.19999999999999</v>
      </c>
    </row>
    <row r="24" spans="2:21" x14ac:dyDescent="0.25">
      <c r="C24" s="12"/>
      <c r="G24" s="2">
        <v>1992</v>
      </c>
      <c r="H24" s="3">
        <v>138.1</v>
      </c>
      <c r="I24" s="3">
        <v>138.6</v>
      </c>
      <c r="J24" s="3">
        <v>139.30000000000001</v>
      </c>
      <c r="K24" s="3">
        <v>139.5</v>
      </c>
      <c r="L24" s="3">
        <v>139.69999999999999</v>
      </c>
      <c r="M24" s="3">
        <v>140.19999999999999</v>
      </c>
      <c r="N24" s="3">
        <v>140.5</v>
      </c>
      <c r="O24" s="3">
        <v>140.9</v>
      </c>
      <c r="P24" s="3">
        <v>141.30000000000001</v>
      </c>
      <c r="Q24" s="3">
        <v>141.80000000000001</v>
      </c>
      <c r="R24" s="3">
        <v>142</v>
      </c>
      <c r="S24" s="3">
        <v>141.9</v>
      </c>
      <c r="T24" s="3">
        <v>139.19999999999999</v>
      </c>
      <c r="U24" s="3">
        <v>141.4</v>
      </c>
    </row>
    <row r="25" spans="2:21" x14ac:dyDescent="0.25">
      <c r="C25" s="12"/>
      <c r="G25" s="2">
        <v>1993</v>
      </c>
      <c r="H25" s="3">
        <v>142.6</v>
      </c>
      <c r="I25" s="3">
        <v>143.1</v>
      </c>
      <c r="J25" s="3">
        <v>143.6</v>
      </c>
      <c r="K25" s="3">
        <v>144</v>
      </c>
      <c r="L25" s="3">
        <v>144.19999999999999</v>
      </c>
      <c r="M25" s="3">
        <v>144.4</v>
      </c>
      <c r="N25" s="3">
        <v>144.4</v>
      </c>
      <c r="O25" s="3">
        <v>144.80000000000001</v>
      </c>
      <c r="P25" s="3">
        <v>145.1</v>
      </c>
      <c r="Q25" s="3">
        <v>145.69999999999999</v>
      </c>
      <c r="R25" s="3">
        <v>145.80000000000001</v>
      </c>
      <c r="S25" s="3">
        <v>145.80000000000001</v>
      </c>
      <c r="T25" s="3">
        <v>143.69999999999999</v>
      </c>
      <c r="U25" s="3">
        <v>145.30000000000001</v>
      </c>
    </row>
    <row r="26" spans="2:21" x14ac:dyDescent="0.25">
      <c r="C26" s="12"/>
      <c r="G26" s="2">
        <v>1994</v>
      </c>
      <c r="H26" s="3">
        <v>146.19999999999999</v>
      </c>
      <c r="I26" s="3">
        <v>146.69999999999999</v>
      </c>
      <c r="J26" s="3">
        <v>147.19999999999999</v>
      </c>
      <c r="K26" s="3">
        <v>147.4</v>
      </c>
      <c r="L26" s="3">
        <v>147.5</v>
      </c>
      <c r="M26" s="3">
        <v>148</v>
      </c>
      <c r="N26" s="3">
        <v>148.4</v>
      </c>
      <c r="O26" s="3">
        <v>149</v>
      </c>
      <c r="P26" s="3">
        <v>149.4</v>
      </c>
      <c r="Q26" s="3">
        <v>149.5</v>
      </c>
      <c r="R26" s="3">
        <v>149.69999999999999</v>
      </c>
      <c r="S26" s="3">
        <v>149.69999999999999</v>
      </c>
      <c r="T26" s="3">
        <v>147.19999999999999</v>
      </c>
      <c r="U26" s="3">
        <v>149.30000000000001</v>
      </c>
    </row>
    <row r="27" spans="2:21" x14ac:dyDescent="0.25">
      <c r="C27" s="12"/>
      <c r="G27" s="2">
        <v>1995</v>
      </c>
      <c r="H27" s="3">
        <v>150.30000000000001</v>
      </c>
      <c r="I27" s="3">
        <v>150.9</v>
      </c>
      <c r="J27" s="3">
        <v>151.4</v>
      </c>
      <c r="K27" s="3">
        <v>151.9</v>
      </c>
      <c r="L27" s="3">
        <v>152.19999999999999</v>
      </c>
      <c r="M27" s="3">
        <v>152.5</v>
      </c>
      <c r="N27" s="3">
        <v>152.5</v>
      </c>
      <c r="O27" s="3">
        <v>152.9</v>
      </c>
      <c r="P27" s="3">
        <v>153.19999999999999</v>
      </c>
      <c r="Q27" s="3">
        <v>153.69999999999999</v>
      </c>
      <c r="R27" s="3">
        <v>153.6</v>
      </c>
      <c r="S27" s="3">
        <v>153.5</v>
      </c>
      <c r="T27" s="3">
        <v>151.5</v>
      </c>
      <c r="U27" s="3">
        <v>153.19999999999999</v>
      </c>
    </row>
    <row r="28" spans="2:21" x14ac:dyDescent="0.25">
      <c r="C28" s="12"/>
      <c r="G28" s="2">
        <v>1996</v>
      </c>
      <c r="H28" s="3">
        <v>154.4</v>
      </c>
      <c r="I28" s="3">
        <v>154.9</v>
      </c>
      <c r="J28" s="3">
        <v>155.69999999999999</v>
      </c>
      <c r="K28" s="3">
        <v>156.30000000000001</v>
      </c>
      <c r="L28" s="3">
        <v>156.6</v>
      </c>
      <c r="M28" s="3">
        <v>156.69999999999999</v>
      </c>
      <c r="N28" s="3">
        <v>157</v>
      </c>
      <c r="O28" s="3">
        <v>157.30000000000001</v>
      </c>
      <c r="P28" s="3">
        <v>157.80000000000001</v>
      </c>
      <c r="Q28" s="3">
        <v>158.30000000000001</v>
      </c>
      <c r="R28" s="3">
        <v>158.6</v>
      </c>
      <c r="S28" s="3">
        <v>158.6</v>
      </c>
      <c r="T28" s="3">
        <v>155.80000000000001</v>
      </c>
      <c r="U28" s="3">
        <v>157.9</v>
      </c>
    </row>
    <row r="29" spans="2:21" x14ac:dyDescent="0.25">
      <c r="G29" s="2">
        <v>1997</v>
      </c>
      <c r="H29" s="3">
        <v>159.1</v>
      </c>
      <c r="I29" s="3">
        <v>159.6</v>
      </c>
      <c r="J29" s="3">
        <v>160</v>
      </c>
      <c r="K29" s="3">
        <v>160.19999999999999</v>
      </c>
      <c r="L29" s="3">
        <v>160.1</v>
      </c>
      <c r="M29" s="3">
        <v>160.30000000000001</v>
      </c>
      <c r="N29" s="3">
        <v>160.5</v>
      </c>
      <c r="O29" s="3">
        <v>160.80000000000001</v>
      </c>
      <c r="P29" s="3">
        <v>161.19999999999999</v>
      </c>
      <c r="Q29" s="3">
        <v>161.6</v>
      </c>
      <c r="R29" s="3">
        <v>161.5</v>
      </c>
      <c r="S29" s="3">
        <v>161.30000000000001</v>
      </c>
      <c r="T29" s="3">
        <v>159.9</v>
      </c>
      <c r="U29" s="3">
        <v>161.19999999999999</v>
      </c>
    </row>
    <row r="30" spans="2:21" x14ac:dyDescent="0.25">
      <c r="B30" s="2"/>
      <c r="C30" s="2"/>
      <c r="D30" s="3"/>
      <c r="E30" s="3"/>
      <c r="F30" s="3"/>
      <c r="G30" s="2">
        <v>1998</v>
      </c>
      <c r="H30" s="3">
        <v>161.6</v>
      </c>
      <c r="I30" s="3">
        <v>161.9</v>
      </c>
      <c r="J30" s="3">
        <v>162.19999999999999</v>
      </c>
      <c r="K30" s="3">
        <v>162.5</v>
      </c>
      <c r="L30" s="3">
        <v>162.80000000000001</v>
      </c>
      <c r="M30" s="3">
        <v>163</v>
      </c>
      <c r="N30" s="3">
        <v>163.19999999999999</v>
      </c>
      <c r="O30" s="3">
        <v>163.4</v>
      </c>
      <c r="P30" s="3">
        <v>163.6</v>
      </c>
      <c r="Q30" s="3">
        <v>164</v>
      </c>
      <c r="R30" s="3">
        <v>164</v>
      </c>
      <c r="S30" s="3">
        <v>163.9</v>
      </c>
      <c r="T30" s="3">
        <v>162.30000000000001</v>
      </c>
      <c r="U30" s="3">
        <v>163.69999999999999</v>
      </c>
    </row>
    <row r="31" spans="2:21" x14ac:dyDescent="0.25">
      <c r="B31" s="2"/>
      <c r="C31" s="2"/>
      <c r="D31" s="3"/>
      <c r="E31" s="3"/>
      <c r="F31" s="3"/>
      <c r="G31" s="2">
        <v>1999</v>
      </c>
      <c r="H31" s="3">
        <v>164.3</v>
      </c>
      <c r="I31" s="3">
        <v>164.5</v>
      </c>
      <c r="J31" s="3">
        <v>165</v>
      </c>
      <c r="K31" s="3">
        <v>166.2</v>
      </c>
      <c r="L31" s="3">
        <v>166.2</v>
      </c>
      <c r="M31" s="3">
        <v>166.2</v>
      </c>
      <c r="N31" s="3">
        <v>166.7</v>
      </c>
      <c r="O31" s="3">
        <v>167.1</v>
      </c>
      <c r="P31" s="3">
        <v>167.9</v>
      </c>
      <c r="Q31" s="3">
        <v>168.2</v>
      </c>
      <c r="R31" s="3">
        <v>168.3</v>
      </c>
      <c r="S31" s="3">
        <v>168.3</v>
      </c>
      <c r="T31" s="3">
        <v>165.4</v>
      </c>
      <c r="U31" s="3">
        <v>167.8</v>
      </c>
    </row>
    <row r="32" spans="2:21" x14ac:dyDescent="0.25">
      <c r="B32" s="2"/>
      <c r="C32" s="2"/>
      <c r="D32" s="3"/>
      <c r="E32" s="3"/>
      <c r="F32" s="3"/>
      <c r="G32" s="2">
        <v>2000</v>
      </c>
      <c r="H32" s="3">
        <v>168.8</v>
      </c>
      <c r="I32" s="3">
        <v>169.8</v>
      </c>
      <c r="J32" s="3">
        <v>171.2</v>
      </c>
      <c r="K32" s="3">
        <v>171.3</v>
      </c>
      <c r="L32" s="3">
        <v>171.5</v>
      </c>
      <c r="M32" s="3">
        <v>172.4</v>
      </c>
      <c r="N32" s="3">
        <v>172.8</v>
      </c>
      <c r="O32" s="3">
        <v>172.8</v>
      </c>
      <c r="P32" s="3">
        <v>173.7</v>
      </c>
      <c r="Q32" s="3">
        <v>174</v>
      </c>
      <c r="R32" s="3">
        <v>174.1</v>
      </c>
      <c r="S32" s="3">
        <v>174</v>
      </c>
      <c r="T32" s="3">
        <v>170.8</v>
      </c>
      <c r="U32" s="3">
        <v>173.6</v>
      </c>
    </row>
    <row r="33" spans="2:21" x14ac:dyDescent="0.25">
      <c r="B33" s="2"/>
      <c r="C33" s="2"/>
      <c r="D33" s="3"/>
      <c r="E33" s="3"/>
      <c r="F33" s="3"/>
      <c r="G33" s="2">
        <v>2001</v>
      </c>
      <c r="H33" s="3">
        <v>175.1</v>
      </c>
      <c r="I33" s="3">
        <v>175.8</v>
      </c>
      <c r="J33" s="3">
        <v>176.2</v>
      </c>
      <c r="K33" s="3">
        <v>176.9</v>
      </c>
      <c r="L33" s="3">
        <v>177.7</v>
      </c>
      <c r="M33" s="3">
        <v>178</v>
      </c>
      <c r="N33" s="3">
        <v>177.5</v>
      </c>
      <c r="O33" s="3">
        <v>177.5</v>
      </c>
      <c r="P33" s="3">
        <v>178.3</v>
      </c>
      <c r="Q33" s="3">
        <v>177.7</v>
      </c>
      <c r="R33" s="3">
        <v>177.4</v>
      </c>
      <c r="S33" s="3">
        <v>176.7</v>
      </c>
      <c r="T33" s="3">
        <v>176.6</v>
      </c>
      <c r="U33" s="3">
        <v>177.5</v>
      </c>
    </row>
    <row r="34" spans="2:21" x14ac:dyDescent="0.25">
      <c r="B34" s="2"/>
      <c r="C34" s="2"/>
      <c r="D34" s="3"/>
      <c r="E34" s="3"/>
      <c r="F34" s="3"/>
      <c r="G34" s="2">
        <v>2002</v>
      </c>
      <c r="H34" s="3">
        <v>177.1</v>
      </c>
      <c r="I34" s="3">
        <v>177.8</v>
      </c>
      <c r="J34" s="3">
        <v>178.8</v>
      </c>
      <c r="K34" s="3">
        <v>179.8</v>
      </c>
      <c r="L34" s="3">
        <v>179.8</v>
      </c>
      <c r="M34" s="3">
        <v>179.9</v>
      </c>
      <c r="N34" s="3">
        <v>180.1</v>
      </c>
      <c r="O34" s="3">
        <v>180.7</v>
      </c>
      <c r="P34" s="3">
        <v>181</v>
      </c>
      <c r="Q34" s="3">
        <v>181.3</v>
      </c>
      <c r="R34" s="3">
        <v>181.3</v>
      </c>
      <c r="S34" s="3">
        <v>180.9</v>
      </c>
      <c r="T34" s="3">
        <v>178.9</v>
      </c>
      <c r="U34" s="3">
        <v>180.9</v>
      </c>
    </row>
    <row r="35" spans="2:21" x14ac:dyDescent="0.25">
      <c r="B35" s="2"/>
      <c r="C35" s="2"/>
      <c r="D35" s="3"/>
      <c r="E35" s="3"/>
      <c r="F35" s="3"/>
      <c r="G35" s="2">
        <v>2003</v>
      </c>
      <c r="H35" s="3">
        <v>181.7</v>
      </c>
      <c r="I35" s="3">
        <v>183.1</v>
      </c>
      <c r="J35" s="3">
        <v>184.2</v>
      </c>
      <c r="K35" s="3">
        <v>183.8</v>
      </c>
      <c r="L35" s="3">
        <v>183.5</v>
      </c>
      <c r="M35" s="3">
        <v>183.7</v>
      </c>
      <c r="N35" s="3">
        <v>183.9</v>
      </c>
      <c r="O35" s="3">
        <v>184.6</v>
      </c>
      <c r="P35" s="3">
        <v>185.2</v>
      </c>
      <c r="Q35" s="3">
        <v>185</v>
      </c>
      <c r="R35" s="3">
        <v>184.5</v>
      </c>
      <c r="S35" s="3">
        <v>184.3</v>
      </c>
      <c r="T35" s="3">
        <v>183.3</v>
      </c>
      <c r="U35" s="3">
        <v>184.6</v>
      </c>
    </row>
    <row r="36" spans="2:21" x14ac:dyDescent="0.25">
      <c r="B36" s="2"/>
      <c r="C36" s="2"/>
      <c r="D36" s="3"/>
      <c r="E36" s="3"/>
      <c r="F36" s="3"/>
      <c r="G36" s="2">
        <v>2004</v>
      </c>
      <c r="H36" s="3">
        <v>185.2</v>
      </c>
      <c r="I36" s="3">
        <v>186.2</v>
      </c>
      <c r="J36" s="3">
        <v>187.4</v>
      </c>
      <c r="K36" s="3">
        <v>188</v>
      </c>
      <c r="L36" s="3">
        <v>189.1</v>
      </c>
      <c r="M36" s="3">
        <v>189.7</v>
      </c>
      <c r="N36" s="3">
        <v>189.4</v>
      </c>
      <c r="O36" s="3">
        <v>189.5</v>
      </c>
      <c r="P36" s="3">
        <v>189.9</v>
      </c>
      <c r="Q36" s="3">
        <v>190.9</v>
      </c>
      <c r="R36" s="3">
        <v>191</v>
      </c>
      <c r="S36" s="3">
        <v>190.3</v>
      </c>
      <c r="T36" s="3">
        <v>187.6</v>
      </c>
      <c r="U36" s="3">
        <v>190.2</v>
      </c>
    </row>
    <row r="37" spans="2:21" x14ac:dyDescent="0.25">
      <c r="B37" s="2"/>
      <c r="C37" s="2"/>
      <c r="D37" s="4"/>
      <c r="E37" s="4"/>
      <c r="F37" s="4"/>
      <c r="G37" s="2">
        <v>2005</v>
      </c>
      <c r="H37" s="3">
        <v>190.7</v>
      </c>
      <c r="I37" s="3">
        <v>191.8</v>
      </c>
      <c r="J37" s="3">
        <v>193.3</v>
      </c>
      <c r="K37" s="3">
        <v>194.6</v>
      </c>
      <c r="L37" s="3">
        <v>194.4</v>
      </c>
      <c r="M37" s="3">
        <v>194.5</v>
      </c>
      <c r="N37" s="3">
        <v>195.4</v>
      </c>
      <c r="O37" s="3">
        <v>196.4</v>
      </c>
      <c r="P37" s="3">
        <v>198.8</v>
      </c>
      <c r="Q37" s="3">
        <v>199.2</v>
      </c>
      <c r="R37" s="3">
        <v>197.6</v>
      </c>
      <c r="S37" s="3">
        <v>196.8</v>
      </c>
      <c r="T37" s="3">
        <v>193.2</v>
      </c>
      <c r="U37" s="3">
        <v>197.4</v>
      </c>
    </row>
    <row r="38" spans="2:21" x14ac:dyDescent="0.25">
      <c r="B38" s="2"/>
      <c r="C38" s="2"/>
      <c r="D38" s="4"/>
      <c r="E38" s="4"/>
      <c r="F38" s="4"/>
      <c r="G38" s="2">
        <v>2006</v>
      </c>
      <c r="H38" s="3">
        <v>198.3</v>
      </c>
      <c r="I38" s="3">
        <v>198.7</v>
      </c>
      <c r="J38" s="3">
        <v>199.8</v>
      </c>
      <c r="K38" s="3">
        <v>201.5</v>
      </c>
      <c r="L38" s="3">
        <v>202.5</v>
      </c>
      <c r="M38" s="3">
        <v>202.9</v>
      </c>
      <c r="N38" s="3">
        <v>203.5</v>
      </c>
      <c r="O38" s="3">
        <v>203.9</v>
      </c>
      <c r="P38" s="3">
        <v>202.9</v>
      </c>
      <c r="Q38" s="3">
        <v>201.8</v>
      </c>
      <c r="R38" s="3">
        <v>201.5</v>
      </c>
      <c r="S38" s="3">
        <v>201.8</v>
      </c>
      <c r="T38" s="3">
        <v>200.6</v>
      </c>
      <c r="U38" s="3">
        <v>202.6</v>
      </c>
    </row>
    <row r="39" spans="2:21" x14ac:dyDescent="0.25">
      <c r="B39" s="2"/>
      <c r="C39" s="2"/>
      <c r="D39" s="4"/>
      <c r="E39" s="4"/>
      <c r="F39" s="4"/>
      <c r="G39" s="2">
        <v>2007</v>
      </c>
      <c r="H39" s="4">
        <v>202.416</v>
      </c>
      <c r="I39" s="4">
        <v>203.499</v>
      </c>
      <c r="J39" s="4">
        <v>205.352</v>
      </c>
      <c r="K39" s="4">
        <v>206.68600000000001</v>
      </c>
      <c r="L39" s="4">
        <v>207.94900000000001</v>
      </c>
      <c r="M39" s="4">
        <v>208.352</v>
      </c>
      <c r="N39" s="4">
        <v>208.29900000000001</v>
      </c>
      <c r="O39" s="4">
        <v>207.917</v>
      </c>
      <c r="P39" s="4">
        <v>208.49</v>
      </c>
      <c r="Q39" s="4">
        <v>208.93600000000001</v>
      </c>
      <c r="R39" s="4">
        <v>210.17699999999999</v>
      </c>
      <c r="S39" s="4">
        <v>210.036</v>
      </c>
      <c r="T39" s="4">
        <v>205.709</v>
      </c>
      <c r="U39" s="4">
        <v>208.976</v>
      </c>
    </row>
    <row r="40" spans="2:21" x14ac:dyDescent="0.25">
      <c r="B40" s="2"/>
      <c r="C40" s="2"/>
      <c r="D40" s="4"/>
      <c r="E40" s="4"/>
      <c r="F40" s="4"/>
      <c r="G40" s="2">
        <v>2008</v>
      </c>
      <c r="H40" s="4">
        <v>211.08</v>
      </c>
      <c r="I40" s="4">
        <v>211.69300000000001</v>
      </c>
      <c r="J40" s="4">
        <v>213.52799999999999</v>
      </c>
      <c r="K40" s="4">
        <v>214.82300000000001</v>
      </c>
      <c r="L40" s="4">
        <v>216.63200000000001</v>
      </c>
      <c r="M40" s="4">
        <v>218.815</v>
      </c>
      <c r="N40" s="4">
        <v>219.964</v>
      </c>
      <c r="O40" s="4">
        <v>219.08600000000001</v>
      </c>
      <c r="P40" s="4">
        <v>218.78299999999999</v>
      </c>
      <c r="Q40" s="4">
        <v>216.57300000000001</v>
      </c>
      <c r="R40" s="4">
        <v>212.42500000000001</v>
      </c>
      <c r="S40" s="4">
        <v>210.22800000000001</v>
      </c>
      <c r="T40" s="4">
        <v>214.429</v>
      </c>
      <c r="U40" s="4">
        <v>216.17699999999999</v>
      </c>
    </row>
    <row r="41" spans="2:21" x14ac:dyDescent="0.25">
      <c r="B41" s="2"/>
      <c r="C41" s="2"/>
      <c r="D41" s="4"/>
      <c r="E41" s="4"/>
      <c r="F41" s="4"/>
      <c r="G41" s="2">
        <v>2009</v>
      </c>
      <c r="H41" s="4">
        <v>211.143</v>
      </c>
      <c r="I41" s="4">
        <v>212.19300000000001</v>
      </c>
      <c r="J41" s="4">
        <v>212.709</v>
      </c>
      <c r="K41" s="4">
        <v>213.24</v>
      </c>
      <c r="L41" s="4">
        <v>213.85599999999999</v>
      </c>
      <c r="M41" s="4">
        <v>215.69300000000001</v>
      </c>
      <c r="N41" s="4">
        <v>215.351</v>
      </c>
      <c r="O41" s="4">
        <v>215.834</v>
      </c>
      <c r="P41" s="4">
        <v>215.96899999999999</v>
      </c>
      <c r="Q41" s="4">
        <v>216.17699999999999</v>
      </c>
      <c r="R41" s="4">
        <v>216.33</v>
      </c>
      <c r="S41" s="4">
        <v>215.94900000000001</v>
      </c>
      <c r="T41" s="4">
        <v>213.13900000000001</v>
      </c>
      <c r="U41" s="4">
        <v>215.935</v>
      </c>
    </row>
    <row r="42" spans="2:21" x14ac:dyDescent="0.25">
      <c r="B42" s="2"/>
      <c r="C42" s="2"/>
      <c r="D42" s="4"/>
      <c r="E42" s="4"/>
      <c r="F42" s="4"/>
      <c r="G42" s="2">
        <v>2010</v>
      </c>
      <c r="H42" s="4">
        <v>216.68700000000001</v>
      </c>
      <c r="I42" s="4">
        <v>216.74100000000001</v>
      </c>
      <c r="J42" s="4">
        <v>217.631</v>
      </c>
      <c r="K42" s="4">
        <v>218.00899999999999</v>
      </c>
      <c r="L42" s="4">
        <v>218.178</v>
      </c>
      <c r="M42" s="4">
        <v>217.965</v>
      </c>
      <c r="N42" s="4">
        <v>218.011</v>
      </c>
      <c r="O42" s="4">
        <v>218.31200000000001</v>
      </c>
      <c r="P42" s="4">
        <v>218.43899999999999</v>
      </c>
      <c r="Q42" s="4">
        <v>218.71100000000001</v>
      </c>
      <c r="R42" s="4">
        <v>218.803</v>
      </c>
      <c r="S42" s="4">
        <v>219.179</v>
      </c>
      <c r="T42" s="4">
        <v>217.535</v>
      </c>
      <c r="U42" s="4">
        <v>218.57599999999999</v>
      </c>
    </row>
    <row r="43" spans="2:21" x14ac:dyDescent="0.25">
      <c r="B43" s="2"/>
      <c r="C43" s="2"/>
      <c r="D43" s="4"/>
      <c r="E43" s="4"/>
      <c r="F43" s="4"/>
      <c r="G43" s="2">
        <v>2011</v>
      </c>
      <c r="H43" s="4">
        <v>220.22300000000001</v>
      </c>
      <c r="I43" s="4">
        <v>221.309</v>
      </c>
      <c r="J43" s="4">
        <v>223.46700000000001</v>
      </c>
      <c r="K43" s="4">
        <v>224.90600000000001</v>
      </c>
      <c r="L43" s="4">
        <v>225.964</v>
      </c>
      <c r="M43" s="4">
        <v>225.72200000000001</v>
      </c>
      <c r="N43" s="4">
        <v>225.922</v>
      </c>
      <c r="O43" s="4">
        <v>226.54499999999999</v>
      </c>
      <c r="P43" s="4">
        <v>226.88900000000001</v>
      </c>
      <c r="Q43" s="4">
        <v>226.42099999999999</v>
      </c>
      <c r="R43" s="4">
        <v>226.23</v>
      </c>
      <c r="S43" s="4">
        <v>225.672</v>
      </c>
      <c r="T43" s="4">
        <v>223.59800000000001</v>
      </c>
      <c r="U43" s="4">
        <v>226.28</v>
      </c>
    </row>
    <row r="44" spans="2:21" x14ac:dyDescent="0.25">
      <c r="B44" s="2"/>
      <c r="C44" s="2"/>
      <c r="D44" s="4"/>
      <c r="E44" s="4"/>
      <c r="F44" s="4"/>
      <c r="G44" s="2">
        <v>2012</v>
      </c>
      <c r="H44" s="4">
        <v>226.66499999999999</v>
      </c>
      <c r="I44" s="4">
        <v>227.66300000000001</v>
      </c>
      <c r="J44" s="4">
        <v>229.392</v>
      </c>
      <c r="K44" s="4">
        <v>230.08500000000001</v>
      </c>
      <c r="L44" s="4">
        <v>229.815</v>
      </c>
      <c r="M44" s="4">
        <v>229.47800000000001</v>
      </c>
      <c r="N44" s="4">
        <v>229.10400000000001</v>
      </c>
      <c r="O44" s="4">
        <v>230.37899999999999</v>
      </c>
      <c r="P44" s="4">
        <v>231.40700000000001</v>
      </c>
      <c r="Q44" s="4">
        <v>231.31700000000001</v>
      </c>
      <c r="R44" s="4">
        <v>230.221</v>
      </c>
      <c r="S44" s="4">
        <v>229.601</v>
      </c>
      <c r="T44" s="4">
        <v>228.85</v>
      </c>
      <c r="U44" s="4">
        <v>230.33799999999999</v>
      </c>
    </row>
    <row r="45" spans="2:21" x14ac:dyDescent="0.25">
      <c r="B45" s="2"/>
      <c r="C45" s="2"/>
      <c r="D45" s="4"/>
      <c r="E45" s="4"/>
      <c r="F45" s="4"/>
      <c r="G45" s="2">
        <v>2013</v>
      </c>
      <c r="H45" s="4">
        <v>230.28</v>
      </c>
      <c r="I45" s="4">
        <v>232.166</v>
      </c>
      <c r="J45" s="4">
        <v>232.773</v>
      </c>
      <c r="K45" s="4">
        <v>232.53100000000001</v>
      </c>
      <c r="L45" s="4">
        <v>232.94499999999999</v>
      </c>
      <c r="M45" s="4">
        <v>233.50399999999999</v>
      </c>
      <c r="N45" s="4">
        <v>233.596</v>
      </c>
      <c r="O45" s="4">
        <v>233.87700000000001</v>
      </c>
      <c r="P45" s="4">
        <v>234.149</v>
      </c>
      <c r="Q45" s="4">
        <v>233.54599999999999</v>
      </c>
      <c r="R45" s="4">
        <v>233.06899999999999</v>
      </c>
      <c r="S45" s="4">
        <v>233.04900000000001</v>
      </c>
      <c r="T45" s="4">
        <v>232.36600000000001</v>
      </c>
      <c r="U45" s="4">
        <v>233.548</v>
      </c>
    </row>
    <row r="46" spans="2:21" x14ac:dyDescent="0.25">
      <c r="G46" s="2">
        <v>2014</v>
      </c>
      <c r="H46" s="4">
        <v>233.916</v>
      </c>
      <c r="I46" s="4">
        <v>234.78100000000001</v>
      </c>
      <c r="J46" s="4">
        <v>236.29300000000001</v>
      </c>
      <c r="K46" s="4">
        <v>237.072</v>
      </c>
      <c r="L46" s="4">
        <v>237.9</v>
      </c>
      <c r="M46" s="4">
        <v>238.34299999999999</v>
      </c>
      <c r="N46" s="4">
        <v>238.25</v>
      </c>
      <c r="O46" s="4">
        <v>237.852</v>
      </c>
      <c r="P46" s="4">
        <v>238.03100000000001</v>
      </c>
      <c r="Q46" s="4">
        <v>237.43299999999999</v>
      </c>
      <c r="R46" s="4">
        <v>236.15100000000001</v>
      </c>
      <c r="S46" s="4">
        <v>234.81200000000001</v>
      </c>
      <c r="T46" s="4">
        <v>236.38399999999999</v>
      </c>
      <c r="U46" s="4">
        <v>237.08799999999999</v>
      </c>
    </row>
    <row r="47" spans="2:21" x14ac:dyDescent="0.25">
      <c r="G47" s="2">
        <v>2015</v>
      </c>
      <c r="H47" s="4">
        <v>233.70699999999999</v>
      </c>
      <c r="I47" s="4">
        <v>234.72200000000001</v>
      </c>
      <c r="J47" s="4">
        <v>236.119</v>
      </c>
      <c r="K47" s="4">
        <v>236.59899999999999</v>
      </c>
      <c r="L47" s="9"/>
      <c r="M47" s="9"/>
      <c r="N47" s="9"/>
      <c r="O47" s="9"/>
      <c r="P47" s="9"/>
      <c r="Q47" s="9"/>
      <c r="R47" s="9"/>
      <c r="S47" s="9"/>
      <c r="T47" s="9"/>
      <c r="U47" s="9"/>
    </row>
  </sheetData>
  <mergeCells count="10">
    <mergeCell ref="B1:D1"/>
    <mergeCell ref="G1:L1"/>
    <mergeCell ref="G2:L2"/>
    <mergeCell ref="G3:L3"/>
    <mergeCell ref="H4:L4"/>
    <mergeCell ref="G5:L5"/>
    <mergeCell ref="H6:L6"/>
    <mergeCell ref="H7:L7"/>
    <mergeCell ref="H8:L8"/>
    <mergeCell ref="H9:L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C6" workbookViewId="0">
      <selection activeCell="C9" sqref="C9"/>
    </sheetView>
  </sheetViews>
  <sheetFormatPr defaultColWidth="8.85546875" defaultRowHeight="15" x14ac:dyDescent="0.25"/>
  <cols>
    <col min="1" max="25" width="15.7109375" style="20" customWidth="1"/>
    <col min="26" max="16384" width="8.85546875" style="20"/>
  </cols>
  <sheetData>
    <row r="1" spans="1:23" x14ac:dyDescent="0.25">
      <c r="A1" s="66" t="s">
        <v>70</v>
      </c>
      <c r="B1" s="66"/>
    </row>
    <row r="2" spans="1:23" ht="30" x14ac:dyDescent="0.25">
      <c r="A2" s="26" t="s">
        <v>58</v>
      </c>
      <c r="B2" s="25" t="s">
        <v>66</v>
      </c>
    </row>
    <row r="3" spans="1:23" ht="45" x14ac:dyDescent="0.25">
      <c r="A3" s="26" t="s">
        <v>59</v>
      </c>
      <c r="B3" s="25">
        <v>1</v>
      </c>
    </row>
    <row r="5" spans="1:23" ht="14.45" customHeight="1" x14ac:dyDescent="0.25">
      <c r="A5" s="66" t="s">
        <v>62</v>
      </c>
      <c r="B5" s="66"/>
      <c r="C5" s="66"/>
      <c r="D5" s="66"/>
      <c r="E5" s="66"/>
      <c r="F5" s="66"/>
      <c r="G5" s="66"/>
      <c r="H5" s="66"/>
      <c r="I5" s="66"/>
      <c r="J5" s="66"/>
      <c r="K5" s="66"/>
      <c r="L5" s="66"/>
      <c r="M5" s="66"/>
      <c r="N5" s="66"/>
      <c r="O5" s="66"/>
      <c r="P5" s="66"/>
      <c r="Q5" s="66"/>
      <c r="R5" s="66"/>
      <c r="S5" s="66"/>
      <c r="T5" s="66"/>
      <c r="U5" s="66"/>
      <c r="V5" s="66"/>
      <c r="W5" s="66"/>
    </row>
    <row r="6" spans="1:23" ht="30" x14ac:dyDescent="0.25">
      <c r="A6" s="26" t="s">
        <v>9</v>
      </c>
      <c r="B6" s="26" t="s">
        <v>1</v>
      </c>
      <c r="C6" s="27" t="s">
        <v>51</v>
      </c>
      <c r="D6" s="26">
        <v>2017</v>
      </c>
      <c r="E6" s="26">
        <v>2018</v>
      </c>
      <c r="F6" s="26">
        <v>2019</v>
      </c>
      <c r="G6" s="26">
        <v>2020</v>
      </c>
      <c r="H6" s="26">
        <v>2021</v>
      </c>
      <c r="I6" s="26">
        <v>2022</v>
      </c>
      <c r="J6" s="26">
        <v>2023</v>
      </c>
      <c r="K6" s="26">
        <v>2024</v>
      </c>
      <c r="L6" s="26">
        <v>2025</v>
      </c>
      <c r="M6" s="26">
        <v>2026</v>
      </c>
      <c r="N6" s="26">
        <v>2027</v>
      </c>
      <c r="O6" s="26">
        <v>2028</v>
      </c>
      <c r="P6" s="26">
        <v>2029</v>
      </c>
      <c r="Q6" s="26">
        <v>2030</v>
      </c>
      <c r="R6" s="26">
        <v>2031</v>
      </c>
      <c r="S6" s="26">
        <v>2032</v>
      </c>
      <c r="T6" s="26">
        <v>2033</v>
      </c>
      <c r="U6" s="26">
        <v>2034</v>
      </c>
      <c r="V6" s="26">
        <v>2035</v>
      </c>
      <c r="W6" s="26">
        <v>2036</v>
      </c>
    </row>
    <row r="7" spans="1:23" x14ac:dyDescent="0.25">
      <c r="A7" s="28">
        <v>1</v>
      </c>
      <c r="B7" s="28" t="s">
        <v>13</v>
      </c>
      <c r="C7" s="25">
        <v>0</v>
      </c>
      <c r="D7" s="35">
        <f>$C7*(1+$B$37)^2*$B$3</f>
        <v>0</v>
      </c>
      <c r="E7" s="35">
        <f>$C7*(1+$B$37)^3*$B$3</f>
        <v>0</v>
      </c>
      <c r="F7" s="35">
        <f>$C7*(1+$B$37)^4*$B$3</f>
        <v>0</v>
      </c>
      <c r="G7" s="35">
        <f>$C7*(1+$B$37)^5*$B$3</f>
        <v>0</v>
      </c>
      <c r="H7" s="35">
        <f>$C7*(1+$B$37)^6*$B$3</f>
        <v>0</v>
      </c>
      <c r="I7" s="35">
        <f>$C7*(1+$B$37)^7*$B$3</f>
        <v>0</v>
      </c>
      <c r="J7" s="35">
        <f>$C7*(1+$B$37)^8*$B$3</f>
        <v>0</v>
      </c>
      <c r="K7" s="35">
        <f>$C7*(1+$B$37)^9*$B$3</f>
        <v>0</v>
      </c>
      <c r="L7" s="35">
        <f>$C7*(1+$B$37)^10*$B$3</f>
        <v>0</v>
      </c>
      <c r="M7" s="35">
        <f>$C7*(1+$B$37)^11*$B$3</f>
        <v>0</v>
      </c>
      <c r="N7" s="35">
        <f>$C7*(1+$B$37)^12*$B$3</f>
        <v>0</v>
      </c>
      <c r="O7" s="35">
        <f>$C7*(1+$B$37)^13*$B$3</f>
        <v>0</v>
      </c>
      <c r="P7" s="35">
        <f>$C7*(1+$B$37)^14*$B$3</f>
        <v>0</v>
      </c>
      <c r="Q7" s="35">
        <f>$C7*(1+$B$37)^15*$B$3</f>
        <v>0</v>
      </c>
      <c r="R7" s="35">
        <f>$C7*(1+$B$37)^16*$B$3</f>
        <v>0</v>
      </c>
      <c r="S7" s="35">
        <f>$C7*(1+$B$37)^17*$B$3</f>
        <v>0</v>
      </c>
      <c r="T7" s="35">
        <f>$C7*(1+$B$37)^18*$B$3</f>
        <v>0</v>
      </c>
      <c r="U7" s="35">
        <f>$C7*(1+$B$37)^19*$B$3</f>
        <v>0</v>
      </c>
      <c r="V7" s="35">
        <f>$C7*(1+$B$37)^20*$B$3</f>
        <v>0</v>
      </c>
      <c r="W7" s="35">
        <f>$C7*(1+$B$37)^21*$B$3</f>
        <v>0</v>
      </c>
    </row>
    <row r="8" spans="1:23" x14ac:dyDescent="0.25">
      <c r="A8" s="28">
        <v>2</v>
      </c>
      <c r="B8" s="28" t="s">
        <v>12</v>
      </c>
      <c r="C8" s="25">
        <v>2.1</v>
      </c>
      <c r="D8" s="35">
        <f>$C8*(1+$B$37)^2*$B$3</f>
        <v>2.1210524999999993</v>
      </c>
      <c r="E8" s="35">
        <f>$C8*(1+$B$37)^3*$B$3</f>
        <v>2.1316577624999993</v>
      </c>
      <c r="F8" s="35">
        <f>$C8*(1+$B$37)^4*$B$3</f>
        <v>2.1423160513124988</v>
      </c>
      <c r="G8" s="35">
        <f>$C8*(1+$B$37)^5*$B$3</f>
        <v>2.1530276315690609</v>
      </c>
      <c r="H8" s="35">
        <f>$C8*(1+$B$37)^6*$B$3</f>
        <v>2.1637927697269057</v>
      </c>
      <c r="I8" s="35">
        <f>$C8*(1+$B$37)^7*$B$3</f>
        <v>2.1746117335755399</v>
      </c>
      <c r="J8" s="35">
        <f>$C8*(1+$B$37)^8*$B$3</f>
        <v>2.1854847922434177</v>
      </c>
      <c r="K8" s="35">
        <f>$C8*(1+$B$37)^9*$B$3</f>
        <v>2.1964122162046347</v>
      </c>
      <c r="L8" s="35">
        <f>$C8*(1+$B$37)^10*$B$3</f>
        <v>2.2073942772856574</v>
      </c>
      <c r="M8" s="35">
        <f>$C8*(1+$B$37)^11*$B$3</f>
        <v>2.2184312486720854</v>
      </c>
      <c r="N8" s="35">
        <f>$C8*(1+$B$37)^12*$B$3</f>
        <v>2.2295234049154451</v>
      </c>
      <c r="O8" s="35">
        <f>$C8*(1+$B$37)^13*$B$3</f>
        <v>2.2406710219400221</v>
      </c>
      <c r="P8" s="35">
        <f>$C8*(1+$B$37)^14*$B$3</f>
        <v>2.251874377049722</v>
      </c>
      <c r="Q8" s="35">
        <f>$C8*(1+$B$37)^15*$B$3</f>
        <v>2.2631337489349699</v>
      </c>
      <c r="R8" s="35">
        <f>$C8*(1+$B$37)^16*$B$3</f>
        <v>2.2744494176796444</v>
      </c>
      <c r="S8" s="35">
        <f>$C8*(1+$B$37)^17*$B$3</f>
        <v>2.2858216647680427</v>
      </c>
      <c r="T8" s="35">
        <f>$C8*(1+$B$37)^18*$B$3</f>
        <v>2.2972507730918821</v>
      </c>
      <c r="U8" s="35">
        <f>$C8*(1+$B$37)^19*$B$3</f>
        <v>2.3087370269573415</v>
      </c>
      <c r="V8" s="35">
        <f>$C8*(1+$B$37)^20*$B$3</f>
        <v>2.3202807120921278</v>
      </c>
      <c r="W8" s="35">
        <f>$C8*(1+$B$37)^21*$B$3</f>
        <v>2.3318821156525877</v>
      </c>
    </row>
    <row r="9" spans="1:23" ht="30" x14ac:dyDescent="0.25">
      <c r="A9" s="28">
        <v>3</v>
      </c>
      <c r="B9" s="28" t="s">
        <v>53</v>
      </c>
      <c r="C9" s="25">
        <v>6.3</v>
      </c>
      <c r="D9" s="35">
        <f>$C9*(1+$B$37)^2*$B$3</f>
        <v>6.363157499999998</v>
      </c>
      <c r="E9" s="35">
        <f>$C9*(1+$B$37)^3*$B$3</f>
        <v>6.3949732874999974</v>
      </c>
      <c r="F9" s="35">
        <f>$C9*(1+$B$37)^4*$B$3</f>
        <v>6.426948153937496</v>
      </c>
      <c r="G9" s="35">
        <f>$C9*(1+$B$37)^5*$B$3</f>
        <v>6.4590828947071817</v>
      </c>
      <c r="H9" s="35">
        <f>$C9*(1+$B$37)^6*$B$3</f>
        <v>6.4913783091807167</v>
      </c>
      <c r="I9" s="35">
        <f>$C9*(1+$B$37)^7*$B$3</f>
        <v>6.5238352007266194</v>
      </c>
      <c r="J9" s="35">
        <f>$C9*(1+$B$37)^8*$B$3</f>
        <v>6.5564543767302519</v>
      </c>
      <c r="K9" s="35">
        <f>$C9*(1+$B$37)^9*$B$3</f>
        <v>6.5892366486139036</v>
      </c>
      <c r="L9" s="35">
        <f>$C9*(1+$B$37)^10*$B$3</f>
        <v>6.6221828318569713</v>
      </c>
      <c r="M9" s="35">
        <f>$C9*(1+$B$37)^11*$B$3</f>
        <v>6.6552937460162562</v>
      </c>
      <c r="N9" s="35">
        <f>$C9*(1+$B$37)^12*$B$3</f>
        <v>6.6885702147463348</v>
      </c>
      <c r="O9" s="35">
        <f>$C9*(1+$B$37)^13*$B$3</f>
        <v>6.7220130658200663</v>
      </c>
      <c r="P9" s="35">
        <f>$C9*(1+$B$37)^14*$B$3</f>
        <v>6.7556231311491652</v>
      </c>
      <c r="Q9" s="35">
        <f>$C9*(1+$B$37)^15*$B$3</f>
        <v>6.7894012468049096</v>
      </c>
      <c r="R9" s="35">
        <f>$C9*(1+$B$37)^16*$B$3</f>
        <v>6.8233482530389331</v>
      </c>
      <c r="S9" s="35">
        <f>$C9*(1+$B$37)^17*$B$3</f>
        <v>6.8574649943041273</v>
      </c>
      <c r="T9" s="35">
        <f>$C9*(1+$B$37)^18*$B$3</f>
        <v>6.8917523192756462</v>
      </c>
      <c r="U9" s="35">
        <f>$C9*(1+$B$37)^19*$B$3</f>
        <v>6.9262110808720232</v>
      </c>
      <c r="V9" s="35">
        <f>$C9*(1+$B$37)^20*$B$3</f>
        <v>6.9608421362763826</v>
      </c>
      <c r="W9" s="35">
        <f>$C9*(1+$B$37)^21*$B$3</f>
        <v>6.9956463469577628</v>
      </c>
    </row>
    <row r="10" spans="1:23" x14ac:dyDescent="0.25">
      <c r="A10" s="28">
        <v>4</v>
      </c>
      <c r="B10" s="28" t="s">
        <v>11</v>
      </c>
      <c r="C10" s="25">
        <v>24.5</v>
      </c>
      <c r="D10" s="35">
        <f>$C10*(1+$B$37)^2*$B$3</f>
        <v>24.745612499999993</v>
      </c>
      <c r="E10" s="35">
        <f>$C10*(1+$B$37)^3*$B$3</f>
        <v>24.869340562499993</v>
      </c>
      <c r="F10" s="35">
        <f>$C10*(1+$B$37)^4*$B$3</f>
        <v>24.993687265312484</v>
      </c>
      <c r="G10" s="35">
        <f>$C10*(1+$B$37)^5*$B$3</f>
        <v>25.118655701639042</v>
      </c>
      <c r="H10" s="35">
        <f>$C10*(1+$B$37)^6*$B$3</f>
        <v>25.244248980147233</v>
      </c>
      <c r="I10" s="35">
        <f>$C10*(1+$B$37)^7*$B$3</f>
        <v>25.370470225047967</v>
      </c>
      <c r="J10" s="35">
        <f>$C10*(1+$B$37)^8*$B$3</f>
        <v>25.497322576173204</v>
      </c>
      <c r="K10" s="35">
        <f>$C10*(1+$B$37)^9*$B$3</f>
        <v>25.624809189054069</v>
      </c>
      <c r="L10" s="35">
        <f>$C10*(1+$B$37)^10*$B$3</f>
        <v>25.752933234999333</v>
      </c>
      <c r="M10" s="35">
        <f>$C10*(1+$B$37)^11*$B$3</f>
        <v>25.881697901174331</v>
      </c>
      <c r="N10" s="35">
        <f>$C10*(1+$B$37)^12*$B$3</f>
        <v>26.01110639068019</v>
      </c>
      <c r="O10" s="35">
        <f>$C10*(1+$B$37)^13*$B$3</f>
        <v>26.141161922633589</v>
      </c>
      <c r="P10" s="35">
        <f>$C10*(1+$B$37)^14*$B$3</f>
        <v>26.271867732246754</v>
      </c>
      <c r="Q10" s="35">
        <f>$C10*(1+$B$37)^15*$B$3</f>
        <v>26.403227070907981</v>
      </c>
      <c r="R10" s="35">
        <f>$C10*(1+$B$37)^16*$B$3</f>
        <v>26.535243206262518</v>
      </c>
      <c r="S10" s="35">
        <f>$C10*(1+$B$37)^17*$B$3</f>
        <v>26.667919422293831</v>
      </c>
      <c r="T10" s="35">
        <f>$C10*(1+$B$37)^18*$B$3</f>
        <v>26.80125901940529</v>
      </c>
      <c r="U10" s="35">
        <f>$C10*(1+$B$37)^19*$B$3</f>
        <v>26.935265314502313</v>
      </c>
      <c r="V10" s="35">
        <f>$C10*(1+$B$37)^20*$B$3</f>
        <v>27.069941641074823</v>
      </c>
      <c r="W10" s="35">
        <f>$C10*(1+$B$37)^21*$B$3</f>
        <v>27.205291349280191</v>
      </c>
    </row>
    <row r="11" spans="1:23" ht="45" x14ac:dyDescent="0.25">
      <c r="A11" s="28">
        <v>5</v>
      </c>
      <c r="B11" s="28" t="s">
        <v>55</v>
      </c>
      <c r="C11" s="25">
        <v>36.4</v>
      </c>
      <c r="D11" s="35">
        <f>$C11*(1+$B$37)^2*$B$3</f>
        <v>36.764909999999986</v>
      </c>
      <c r="E11" s="35">
        <f>$C11*(1+$B$37)^3*$B$3</f>
        <v>36.948734549999983</v>
      </c>
      <c r="F11" s="35">
        <f>$C11*(1+$B$37)^4*$B$3</f>
        <v>37.133478222749972</v>
      </c>
      <c r="G11" s="35">
        <f>$C11*(1+$B$37)^5*$B$3</f>
        <v>37.319145613863718</v>
      </c>
      <c r="H11" s="35">
        <f>$C11*(1+$B$37)^6*$B$3</f>
        <v>37.505741341933032</v>
      </c>
      <c r="I11" s="35">
        <f>$C11*(1+$B$37)^7*$B$3</f>
        <v>37.693270048642688</v>
      </c>
      <c r="J11" s="35">
        <f>$C11*(1+$B$37)^8*$B$3</f>
        <v>37.881736398885899</v>
      </c>
      <c r="K11" s="35">
        <f>$C11*(1+$B$37)^9*$B$3</f>
        <v>38.071145080880328</v>
      </c>
      <c r="L11" s="35">
        <f>$C11*(1+$B$37)^10*$B$3</f>
        <v>38.261500806284722</v>
      </c>
      <c r="M11" s="35">
        <f>$C11*(1+$B$37)^11*$B$3</f>
        <v>38.452808310316144</v>
      </c>
      <c r="N11" s="35">
        <f>$C11*(1+$B$37)^12*$B$3</f>
        <v>38.645072351867711</v>
      </c>
      <c r="O11" s="35">
        <f>$C11*(1+$B$37)^13*$B$3</f>
        <v>38.83829771362705</v>
      </c>
      <c r="P11" s="35">
        <f>$C11*(1+$B$37)^14*$B$3</f>
        <v>39.032489202195173</v>
      </c>
      <c r="Q11" s="35">
        <f>$C11*(1+$B$37)^15*$B$3</f>
        <v>39.227651648206141</v>
      </c>
      <c r="R11" s="35">
        <f>$C11*(1+$B$37)^16*$B$3</f>
        <v>39.423789906447169</v>
      </c>
      <c r="S11" s="35">
        <f>$C11*(1+$B$37)^17*$B$3</f>
        <v>39.620908855979401</v>
      </c>
      <c r="T11" s="35">
        <f>$C11*(1+$B$37)^18*$B$3</f>
        <v>39.819013400259287</v>
      </c>
      <c r="U11" s="35">
        <f>$C11*(1+$B$37)^19*$B$3</f>
        <v>40.018108467260582</v>
      </c>
      <c r="V11" s="35">
        <f>$C11*(1+$B$37)^20*$B$3</f>
        <v>40.21819900959688</v>
      </c>
      <c r="W11" s="35">
        <f>$C11*(1+$B$37)^21*$B$3</f>
        <v>40.41929000464485</v>
      </c>
    </row>
    <row r="13" spans="1:23" ht="14.45" customHeight="1"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row>
    <row r="14" spans="1:23" ht="30" x14ac:dyDescent="0.25">
      <c r="A14" s="26" t="s">
        <v>9</v>
      </c>
      <c r="B14" s="26" t="s">
        <v>1</v>
      </c>
      <c r="C14" s="26" t="s">
        <v>57</v>
      </c>
      <c r="D14" s="26">
        <v>2017</v>
      </c>
      <c r="E14" s="26">
        <v>2018</v>
      </c>
      <c r="F14" s="26">
        <v>2019</v>
      </c>
      <c r="G14" s="26">
        <v>2020</v>
      </c>
      <c r="H14" s="26">
        <v>2021</v>
      </c>
      <c r="I14" s="26">
        <v>2022</v>
      </c>
      <c r="J14" s="26">
        <v>2023</v>
      </c>
      <c r="K14" s="26">
        <v>2024</v>
      </c>
      <c r="L14" s="26">
        <v>2025</v>
      </c>
      <c r="M14" s="26">
        <v>2026</v>
      </c>
      <c r="N14" s="26">
        <v>2027</v>
      </c>
      <c r="O14" s="26">
        <v>2028</v>
      </c>
      <c r="P14" s="26">
        <v>2029</v>
      </c>
      <c r="Q14" s="26">
        <v>2030</v>
      </c>
      <c r="R14" s="26">
        <v>2031</v>
      </c>
      <c r="S14" s="26">
        <v>2032</v>
      </c>
      <c r="T14" s="26">
        <v>2033</v>
      </c>
      <c r="U14" s="26">
        <v>2034</v>
      </c>
      <c r="V14" s="26">
        <v>2035</v>
      </c>
      <c r="W14" s="26">
        <v>2036</v>
      </c>
    </row>
    <row r="15" spans="1:23" x14ac:dyDescent="0.25">
      <c r="A15" s="28">
        <v>1</v>
      </c>
      <c r="B15" s="28" t="s">
        <v>13</v>
      </c>
      <c r="C15" s="31">
        <f>D32+2*D33</f>
        <v>9299932.5399999991</v>
      </c>
      <c r="D15" s="31">
        <f t="shared" ref="D15:W15" si="0">D$7*$C$15</f>
        <v>0</v>
      </c>
      <c r="E15" s="31">
        <f t="shared" si="0"/>
        <v>0</v>
      </c>
      <c r="F15" s="31">
        <f t="shared" si="0"/>
        <v>0</v>
      </c>
      <c r="G15" s="31">
        <f t="shared" si="0"/>
        <v>0</v>
      </c>
      <c r="H15" s="31">
        <f t="shared" si="0"/>
        <v>0</v>
      </c>
      <c r="I15" s="31">
        <f t="shared" si="0"/>
        <v>0</v>
      </c>
      <c r="J15" s="31">
        <f t="shared" si="0"/>
        <v>0</v>
      </c>
      <c r="K15" s="31">
        <f t="shared" si="0"/>
        <v>0</v>
      </c>
      <c r="L15" s="31">
        <f t="shared" si="0"/>
        <v>0</v>
      </c>
      <c r="M15" s="31">
        <f t="shared" si="0"/>
        <v>0</v>
      </c>
      <c r="N15" s="31">
        <f t="shared" si="0"/>
        <v>0</v>
      </c>
      <c r="O15" s="31">
        <f t="shared" si="0"/>
        <v>0</v>
      </c>
      <c r="P15" s="31">
        <f t="shared" si="0"/>
        <v>0</v>
      </c>
      <c r="Q15" s="31">
        <f t="shared" si="0"/>
        <v>0</v>
      </c>
      <c r="R15" s="31">
        <f t="shared" si="0"/>
        <v>0</v>
      </c>
      <c r="S15" s="31">
        <f t="shared" si="0"/>
        <v>0</v>
      </c>
      <c r="T15" s="31">
        <f t="shared" si="0"/>
        <v>0</v>
      </c>
      <c r="U15" s="31">
        <f t="shared" si="0"/>
        <v>0</v>
      </c>
      <c r="V15" s="31">
        <f t="shared" si="0"/>
        <v>0</v>
      </c>
      <c r="W15" s="31">
        <f t="shared" si="0"/>
        <v>0</v>
      </c>
    </row>
    <row r="16" spans="1:23" x14ac:dyDescent="0.25">
      <c r="A16" s="28">
        <v>2</v>
      </c>
      <c r="B16" s="28" t="s">
        <v>12</v>
      </c>
      <c r="C16" s="31">
        <f>0.03437*D26+0.55449*D27+0.20908*D28+0.14437*D29+0.03986*D30+0.01783*D31+0*D32+2*D33</f>
        <v>453530.47675999999</v>
      </c>
      <c r="D16" s="31">
        <f t="shared" ref="D16:W16" si="1">D$8*$C$16</f>
        <v>961961.95155798958</v>
      </c>
      <c r="E16" s="31">
        <f t="shared" si="1"/>
        <v>966771.76131577953</v>
      </c>
      <c r="F16" s="31">
        <f t="shared" si="1"/>
        <v>971605.6201223582</v>
      </c>
      <c r="G16" s="31">
        <f t="shared" si="1"/>
        <v>976463.64822296973</v>
      </c>
      <c r="H16" s="31">
        <f t="shared" si="1"/>
        <v>981345.96646408446</v>
      </c>
      <c r="I16" s="31">
        <f t="shared" si="1"/>
        <v>986252.6962964047</v>
      </c>
      <c r="J16" s="31">
        <f t="shared" si="1"/>
        <v>991183.95977788675</v>
      </c>
      <c r="K16" s="31">
        <f t="shared" si="1"/>
        <v>996139.87957677618</v>
      </c>
      <c r="L16" s="31">
        <f t="shared" si="1"/>
        <v>1001120.5789746598</v>
      </c>
      <c r="M16" s="31">
        <f t="shared" si="1"/>
        <v>1006126.181869533</v>
      </c>
      <c r="N16" s="31">
        <f t="shared" si="1"/>
        <v>1011156.8127788804</v>
      </c>
      <c r="O16" s="31">
        <f t="shared" si="1"/>
        <v>1016212.5968427747</v>
      </c>
      <c r="P16" s="31">
        <f t="shared" si="1"/>
        <v>1021293.6598269885</v>
      </c>
      <c r="Q16" s="31">
        <f t="shared" si="1"/>
        <v>1026400.128126123</v>
      </c>
      <c r="R16" s="31">
        <f t="shared" si="1"/>
        <v>1031532.1287667535</v>
      </c>
      <c r="S16" s="31">
        <f t="shared" si="1"/>
        <v>1036689.7894105873</v>
      </c>
      <c r="T16" s="31">
        <f t="shared" si="1"/>
        <v>1041873.2383576399</v>
      </c>
      <c r="U16" s="31">
        <f t="shared" si="1"/>
        <v>1047082.6045494281</v>
      </c>
      <c r="V16" s="31">
        <f t="shared" si="1"/>
        <v>1052318.017572175</v>
      </c>
      <c r="W16" s="31">
        <f t="shared" si="1"/>
        <v>1057579.6076600356</v>
      </c>
    </row>
    <row r="17" spans="1:25" ht="30" x14ac:dyDescent="0.25">
      <c r="A17" s="28">
        <v>3</v>
      </c>
      <c r="B17" s="28" t="s">
        <v>53</v>
      </c>
      <c r="C17" s="31">
        <f>0.08347*D26+0.76843*D27+0.10898*D28+0.03191*D29+0.0062*D30+0.00101*D31+0*D32+2*D33</f>
        <v>129158.27075999998</v>
      </c>
      <c r="D17" s="31">
        <f t="shared" ref="D17:W17" si="2">D$9*$C$17</f>
        <v>821854.41927352431</v>
      </c>
      <c r="E17" s="31">
        <f t="shared" si="2"/>
        <v>825963.69136989187</v>
      </c>
      <c r="F17" s="31">
        <f t="shared" si="2"/>
        <v>830093.50982674118</v>
      </c>
      <c r="G17" s="31">
        <f t="shared" si="2"/>
        <v>834243.97737587465</v>
      </c>
      <c r="H17" s="31">
        <f t="shared" si="2"/>
        <v>838415.19726275385</v>
      </c>
      <c r="I17" s="31">
        <f t="shared" si="2"/>
        <v>842607.2732490676</v>
      </c>
      <c r="J17" s="31">
        <f t="shared" si="2"/>
        <v>846820.30961531284</v>
      </c>
      <c r="K17" s="31">
        <f t="shared" si="2"/>
        <v>851054.41116338945</v>
      </c>
      <c r="L17" s="31">
        <f t="shared" si="2"/>
        <v>855309.68321920617</v>
      </c>
      <c r="M17" s="31">
        <f t="shared" si="2"/>
        <v>859586.23163530219</v>
      </c>
      <c r="N17" s="31">
        <f t="shared" si="2"/>
        <v>863884.16279347835</v>
      </c>
      <c r="O17" s="31">
        <f t="shared" si="2"/>
        <v>868203.5836074457</v>
      </c>
      <c r="P17" s="31">
        <f t="shared" si="2"/>
        <v>872544.60152548272</v>
      </c>
      <c r="Q17" s="31">
        <f t="shared" si="2"/>
        <v>876907.32453311002</v>
      </c>
      <c r="R17" s="31">
        <f t="shared" si="2"/>
        <v>881291.86115577538</v>
      </c>
      <c r="S17" s="31">
        <f t="shared" si="2"/>
        <v>885698.32046155422</v>
      </c>
      <c r="T17" s="31">
        <f t="shared" si="2"/>
        <v>890126.81206386175</v>
      </c>
      <c r="U17" s="31">
        <f t="shared" si="2"/>
        <v>894577.44612418092</v>
      </c>
      <c r="V17" s="31">
        <f t="shared" si="2"/>
        <v>899050.33335480175</v>
      </c>
      <c r="W17" s="31">
        <f t="shared" si="2"/>
        <v>903545.58502157556</v>
      </c>
    </row>
    <row r="18" spans="1:25" x14ac:dyDescent="0.25">
      <c r="A18" s="28">
        <v>4</v>
      </c>
      <c r="B18" s="28" t="s">
        <v>11</v>
      </c>
      <c r="C18" s="31">
        <f>0.23437*D26+0.68946*D27+0.06391*D28+0.01071*D29+0.00142*D30+0.00013*D31+0*D32+2*D33</f>
        <v>69781.396919999985</v>
      </c>
      <c r="D18" s="31">
        <f t="shared" ref="D18:W18" si="3">D$10*$C$18</f>
        <v>1726783.4078910127</v>
      </c>
      <c r="E18" s="31">
        <f t="shared" si="3"/>
        <v>1735417.3249304676</v>
      </c>
      <c r="F18" s="31">
        <f t="shared" si="3"/>
        <v>1744094.4115551193</v>
      </c>
      <c r="G18" s="31">
        <f t="shared" si="3"/>
        <v>1752814.8836128947</v>
      </c>
      <c r="H18" s="31">
        <f t="shared" si="3"/>
        <v>1761578.9580309589</v>
      </c>
      <c r="I18" s="31">
        <f t="shared" si="3"/>
        <v>1770386.8528211135</v>
      </c>
      <c r="J18" s="31">
        <f t="shared" si="3"/>
        <v>1779238.7870852188</v>
      </c>
      <c r="K18" s="31">
        <f t="shared" si="3"/>
        <v>1788134.981020645</v>
      </c>
      <c r="L18" s="31">
        <f t="shared" si="3"/>
        <v>1797075.6559257477</v>
      </c>
      <c r="M18" s="31">
        <f t="shared" si="3"/>
        <v>1806061.0342053764</v>
      </c>
      <c r="N18" s="31">
        <f t="shared" si="3"/>
        <v>1815091.3393764026</v>
      </c>
      <c r="O18" s="31">
        <f t="shared" si="3"/>
        <v>1824166.7960732845</v>
      </c>
      <c r="P18" s="31">
        <f t="shared" si="3"/>
        <v>1833287.6300536506</v>
      </c>
      <c r="Q18" s="31">
        <f t="shared" si="3"/>
        <v>1842454.0682039184</v>
      </c>
      <c r="R18" s="31">
        <f t="shared" si="3"/>
        <v>1851666.3385449378</v>
      </c>
      <c r="S18" s="31">
        <f t="shared" si="3"/>
        <v>1860924.6702376625</v>
      </c>
      <c r="T18" s="31">
        <f t="shared" si="3"/>
        <v>1870229.2935888502</v>
      </c>
      <c r="U18" s="31">
        <f t="shared" si="3"/>
        <v>1879580.4400567941</v>
      </c>
      <c r="V18" s="31">
        <f t="shared" si="3"/>
        <v>1888978.342257078</v>
      </c>
      <c r="W18" s="31">
        <f t="shared" si="3"/>
        <v>1898423.2339683629</v>
      </c>
    </row>
    <row r="19" spans="1:25" ht="45" x14ac:dyDescent="0.25">
      <c r="A19" s="28">
        <v>5</v>
      </c>
      <c r="B19" s="28" t="s">
        <v>55</v>
      </c>
      <c r="C19" s="31">
        <f>0.92534*D26+0.07257*D27+0.00198*D28+0.00008*D29+0*D30+0.00003*D31+0*D32+2*D33</f>
        <v>11063.572319999999</v>
      </c>
      <c r="D19" s="31">
        <f t="shared" ref="D19:W19" si="4">D$11*$C$19</f>
        <v>406751.240623291</v>
      </c>
      <c r="E19" s="31">
        <f t="shared" si="4"/>
        <v>408784.99682640744</v>
      </c>
      <c r="F19" s="31">
        <f t="shared" si="4"/>
        <v>410828.92181053938</v>
      </c>
      <c r="G19" s="31">
        <f t="shared" si="4"/>
        <v>412883.06641959201</v>
      </c>
      <c r="H19" s="31">
        <f t="shared" si="4"/>
        <v>414947.48175168992</v>
      </c>
      <c r="I19" s="31">
        <f t="shared" si="4"/>
        <v>417022.21916044829</v>
      </c>
      <c r="J19" s="31">
        <f t="shared" si="4"/>
        <v>419107.33025625045</v>
      </c>
      <c r="K19" s="31">
        <f t="shared" si="4"/>
        <v>421202.86690753174</v>
      </c>
      <c r="L19" s="31">
        <f t="shared" si="4"/>
        <v>423308.8812420693</v>
      </c>
      <c r="M19" s="31">
        <f t="shared" si="4"/>
        <v>425425.4256482796</v>
      </c>
      <c r="N19" s="31">
        <f t="shared" si="4"/>
        <v>427552.5527765209</v>
      </c>
      <c r="O19" s="31">
        <f t="shared" si="4"/>
        <v>429690.31554040348</v>
      </c>
      <c r="P19" s="31">
        <f t="shared" si="4"/>
        <v>431838.76711810537</v>
      </c>
      <c r="Q19" s="31">
        <f t="shared" si="4"/>
        <v>433997.96095369582</v>
      </c>
      <c r="R19" s="31">
        <f t="shared" si="4"/>
        <v>436167.95075846429</v>
      </c>
      <c r="S19" s="31">
        <f t="shared" si="4"/>
        <v>438348.79051225656</v>
      </c>
      <c r="T19" s="31">
        <f t="shared" si="4"/>
        <v>440540.53446481773</v>
      </c>
      <c r="U19" s="31">
        <f t="shared" si="4"/>
        <v>442743.23713714175</v>
      </c>
      <c r="V19" s="31">
        <f t="shared" si="4"/>
        <v>444956.95332282741</v>
      </c>
      <c r="W19" s="31">
        <f t="shared" si="4"/>
        <v>447181.73808944138</v>
      </c>
      <c r="X19" s="26" t="s">
        <v>61</v>
      </c>
    </row>
    <row r="20" spans="1:25" ht="30" x14ac:dyDescent="0.25">
      <c r="C20" s="27" t="s">
        <v>60</v>
      </c>
      <c r="D20" s="31">
        <f>SUM(D15:D19)</f>
        <v>3917351.0193458176</v>
      </c>
      <c r="E20" s="31">
        <f t="shared" ref="E20:W20" si="5">SUM(E15:E19)</f>
        <v>3936937.7744425465</v>
      </c>
      <c r="F20" s="31">
        <f t="shared" si="5"/>
        <v>3956622.4633147581</v>
      </c>
      <c r="G20" s="31">
        <f t="shared" si="5"/>
        <v>3976405.5756313312</v>
      </c>
      <c r="H20" s="31">
        <f t="shared" si="5"/>
        <v>3996287.6035094867</v>
      </c>
      <c r="I20" s="31">
        <f t="shared" si="5"/>
        <v>4016269.0415270342</v>
      </c>
      <c r="J20" s="31">
        <f t="shared" si="5"/>
        <v>4036350.3867346691</v>
      </c>
      <c r="K20" s="31">
        <f t="shared" si="5"/>
        <v>4056532.1386683425</v>
      </c>
      <c r="L20" s="31">
        <f t="shared" si="5"/>
        <v>4076814.7993616834</v>
      </c>
      <c r="M20" s="31">
        <f t="shared" si="5"/>
        <v>4097198.8733584909</v>
      </c>
      <c r="N20" s="31">
        <f t="shared" si="5"/>
        <v>4117684.8677252824</v>
      </c>
      <c r="O20" s="31">
        <f t="shared" si="5"/>
        <v>4138273.2920639082</v>
      </c>
      <c r="P20" s="31">
        <f t="shared" si="5"/>
        <v>4158964.6585242269</v>
      </c>
      <c r="Q20" s="31">
        <f t="shared" si="5"/>
        <v>4179759.4818168469</v>
      </c>
      <c r="R20" s="31">
        <f t="shared" si="5"/>
        <v>4200658.2792259315</v>
      </c>
      <c r="S20" s="31">
        <f t="shared" si="5"/>
        <v>4221661.5706220604</v>
      </c>
      <c r="T20" s="31">
        <f t="shared" si="5"/>
        <v>4242769.8784751697</v>
      </c>
      <c r="U20" s="31">
        <f t="shared" si="5"/>
        <v>4263983.7278675446</v>
      </c>
      <c r="V20" s="31">
        <f t="shared" si="5"/>
        <v>4285303.6465068823</v>
      </c>
      <c r="W20" s="31">
        <f t="shared" si="5"/>
        <v>4306730.164739415</v>
      </c>
      <c r="X20" s="31">
        <f>SUM(D20:W20)</f>
        <v>82182559.243461415</v>
      </c>
      <c r="Y20" s="26" t="s">
        <v>60</v>
      </c>
    </row>
    <row r="21" spans="1:25" ht="30" x14ac:dyDescent="0.25">
      <c r="C21" s="27" t="s">
        <v>77</v>
      </c>
      <c r="D21" s="31">
        <f>D20/(1.07)^2</f>
        <v>3421566.0925371801</v>
      </c>
      <c r="E21" s="31">
        <f>E20/(1.07)^3</f>
        <v>3213713.9467288465</v>
      </c>
      <c r="F21" s="31">
        <f>F20/(1.07)^4</f>
        <v>3018488.3331425139</v>
      </c>
      <c r="G21" s="31">
        <f>G20/(1.07)^5</f>
        <v>2835122.2194469399</v>
      </c>
      <c r="H21" s="31">
        <f>H20/(1.07)^6</f>
        <v>2662895.1687328727</v>
      </c>
      <c r="I21" s="31">
        <f>I20/(1.07)^7</f>
        <v>2501130.5089500346</v>
      </c>
      <c r="J21" s="31">
        <f>J20/(1.07)^8</f>
        <v>2349192.6742941914</v>
      </c>
      <c r="K21" s="31">
        <f>K20/(1.07)^9</f>
        <v>2206484.7080987496</v>
      </c>
      <c r="L21" s="31">
        <f>L20/(1.07)^10</f>
        <v>2072445.9174198534</v>
      </c>
      <c r="M21" s="31">
        <f>M20/(1.07)^11</f>
        <v>1946549.6700999551</v>
      </c>
      <c r="N21" s="31">
        <f>N20/(1.07)^12</f>
        <v>1828301.3256546305</v>
      </c>
      <c r="O21" s="31">
        <f>O20/(1.07)^13</f>
        <v>1717236.2918531806</v>
      </c>
      <c r="P21" s="31">
        <f>P20/(1.07)^14</f>
        <v>1612918.1993574265</v>
      </c>
      <c r="Q21" s="31">
        <f>Q20/(1.07)^15</f>
        <v>1514937.187246928</v>
      </c>
      <c r="R21" s="31">
        <f>R20/(1.07)^16</f>
        <v>1422908.2926945449</v>
      </c>
      <c r="S21" s="31">
        <f>S20/(1.07)^17</f>
        <v>1336469.9384654367</v>
      </c>
      <c r="T21" s="31">
        <f>T20/(1.07)^18</f>
        <v>1255282.5122969754</v>
      </c>
      <c r="U21" s="31">
        <f>U20/(1.07)^19</f>
        <v>1179027.0325779999</v>
      </c>
      <c r="V21" s="31">
        <f>V20/(1.07)^20</f>
        <v>1107403.8950849439</v>
      </c>
      <c r="W21" s="31">
        <f>W20/(1.07)^21</f>
        <v>1040131.6958508112</v>
      </c>
      <c r="X21" s="31">
        <f>SUM(D21:W21)</f>
        <v>40242205.610534027</v>
      </c>
      <c r="Y21" s="26" t="s">
        <v>77</v>
      </c>
    </row>
    <row r="22" spans="1:25" ht="30" x14ac:dyDescent="0.25">
      <c r="C22" s="27" t="s">
        <v>78</v>
      </c>
      <c r="D22" s="31">
        <f>D20/(1.03)^2</f>
        <v>3692479.0454763104</v>
      </c>
      <c r="E22" s="31">
        <f>E20/(1.03)^3</f>
        <v>3602855.7676734873</v>
      </c>
      <c r="F22" s="31">
        <f>F20/(1.03)^4</f>
        <v>3515407.8121474311</v>
      </c>
      <c r="G22" s="31">
        <f>G20/(1.03)^5</f>
        <v>3430082.3798137549</v>
      </c>
      <c r="H22" s="31">
        <f>H20/(1.03)^6</f>
        <v>3346827.9531192449</v>
      </c>
      <c r="I22" s="31">
        <f>I20/(1.03)^7</f>
        <v>3265594.2649367391</v>
      </c>
      <c r="J22" s="31">
        <f>J20/(1.03)^8</f>
        <v>3186332.2682149736</v>
      </c>
      <c r="K22" s="31">
        <f>K20/(1.03)^9</f>
        <v>3108994.1063650958</v>
      </c>
      <c r="L22" s="31">
        <f>L20/(1.03)^10</f>
        <v>3033533.084365942</v>
      </c>
      <c r="M22" s="31">
        <f>M20/(1.03)^11</f>
        <v>2959903.6405706517</v>
      </c>
      <c r="N22" s="31">
        <f>N20/(1.03)^12</f>
        <v>2888061.3191975774</v>
      </c>
      <c r="O22" s="31">
        <f>O20/(1.03)^13</f>
        <v>2817962.743488898</v>
      </c>
      <c r="P22" s="31">
        <f>P20/(1.03)^14</f>
        <v>2749565.5895207198</v>
      </c>
      <c r="Q22" s="31">
        <f>Q20/(1.03)^15</f>
        <v>2682828.5606488572</v>
      </c>
      <c r="R22" s="31">
        <f>R20/(1.03)^16</f>
        <v>2617711.3625748563</v>
      </c>
      <c r="S22" s="31">
        <f>S20/(1.03)^17</f>
        <v>2554174.6790172136</v>
      </c>
      <c r="T22" s="31">
        <f>T20/(1.03)^18</f>
        <v>2492180.1479731058</v>
      </c>
      <c r="U22" s="31">
        <f>U20/(1.03)^19</f>
        <v>2431690.3385562827</v>
      </c>
      <c r="V22" s="31">
        <f>V20/(1.03)^20</f>
        <v>2372668.7283971496</v>
      </c>
      <c r="W22" s="31">
        <f>W20/(1.03)^21</f>
        <v>2315079.681591393</v>
      </c>
      <c r="X22" s="31">
        <f>SUM(D22:W22)</f>
        <v>59063933.473649696</v>
      </c>
      <c r="Y22" s="26" t="s">
        <v>78</v>
      </c>
    </row>
    <row r="23" spans="1:25" x14ac:dyDescent="0.25">
      <c r="C23" s="34"/>
      <c r="D23" s="34"/>
      <c r="E23" s="34"/>
      <c r="F23" s="34"/>
      <c r="G23" s="34"/>
      <c r="H23" s="34"/>
      <c r="I23" s="34"/>
      <c r="J23" s="34"/>
      <c r="K23" s="34"/>
      <c r="L23" s="34"/>
      <c r="M23" s="34"/>
      <c r="N23" s="34"/>
      <c r="O23" s="34"/>
      <c r="P23" s="34"/>
      <c r="Q23" s="34"/>
      <c r="R23" s="34"/>
      <c r="S23" s="34"/>
      <c r="T23" s="34"/>
      <c r="U23" s="34"/>
      <c r="V23" s="34"/>
      <c r="W23" s="34"/>
      <c r="X23" s="22"/>
      <c r="Y23" s="21"/>
    </row>
    <row r="24" spans="1:25"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row>
    <row r="25" spans="1:25" ht="30" x14ac:dyDescent="0.25">
      <c r="A25" s="26" t="s">
        <v>0</v>
      </c>
      <c r="B25" s="26" t="s">
        <v>1</v>
      </c>
      <c r="C25" s="26" t="s">
        <v>8</v>
      </c>
      <c r="D25" s="26" t="s">
        <v>52</v>
      </c>
    </row>
    <row r="26" spans="1:25" x14ac:dyDescent="0.25">
      <c r="A26" s="29">
        <v>0</v>
      </c>
      <c r="B26" s="29" t="s">
        <v>10</v>
      </c>
      <c r="C26" s="30">
        <v>0</v>
      </c>
      <c r="D26" s="31">
        <f>C26*1.01</f>
        <v>0</v>
      </c>
    </row>
    <row r="27" spans="1:25" x14ac:dyDescent="0.25">
      <c r="A27" s="28">
        <v>1</v>
      </c>
      <c r="B27" s="28" t="s">
        <v>2</v>
      </c>
      <c r="C27" s="31">
        <v>27600</v>
      </c>
      <c r="D27" s="31">
        <f t="shared" ref="D27:D33" si="6">C27*1.01</f>
        <v>27876</v>
      </c>
    </row>
    <row r="28" spans="1:25" x14ac:dyDescent="0.25">
      <c r="A28" s="28">
        <v>2</v>
      </c>
      <c r="B28" s="28" t="s">
        <v>3</v>
      </c>
      <c r="C28" s="31">
        <v>432400</v>
      </c>
      <c r="D28" s="31">
        <f t="shared" si="6"/>
        <v>436724</v>
      </c>
    </row>
    <row r="29" spans="1:25" x14ac:dyDescent="0.25">
      <c r="A29" s="28">
        <v>3</v>
      </c>
      <c r="B29" s="28" t="s">
        <v>4</v>
      </c>
      <c r="C29" s="31">
        <v>966000</v>
      </c>
      <c r="D29" s="31">
        <f t="shared" si="6"/>
        <v>975660</v>
      </c>
    </row>
    <row r="30" spans="1:25" x14ac:dyDescent="0.25">
      <c r="A30" s="28">
        <v>4</v>
      </c>
      <c r="B30" s="28" t="s">
        <v>5</v>
      </c>
      <c r="C30" s="31">
        <v>2477200</v>
      </c>
      <c r="D30" s="31">
        <f t="shared" si="6"/>
        <v>2501972</v>
      </c>
    </row>
    <row r="31" spans="1:25" x14ac:dyDescent="0.25">
      <c r="A31" s="28">
        <v>5</v>
      </c>
      <c r="B31" s="28" t="s">
        <v>6</v>
      </c>
      <c r="C31" s="31">
        <v>5455600</v>
      </c>
      <c r="D31" s="31">
        <f t="shared" si="6"/>
        <v>5510156</v>
      </c>
    </row>
    <row r="32" spans="1:25" x14ac:dyDescent="0.25">
      <c r="A32" s="28">
        <v>6</v>
      </c>
      <c r="B32" s="28" t="s">
        <v>7</v>
      </c>
      <c r="C32" s="31">
        <v>9200000</v>
      </c>
      <c r="D32" s="31">
        <f t="shared" si="6"/>
        <v>9292000</v>
      </c>
    </row>
    <row r="33" spans="1:4" ht="30" x14ac:dyDescent="0.25">
      <c r="A33" s="28" t="s">
        <v>56</v>
      </c>
      <c r="B33" s="28" t="s">
        <v>54</v>
      </c>
      <c r="C33" s="31">
        <v>3927</v>
      </c>
      <c r="D33" s="31">
        <f t="shared" si="6"/>
        <v>3966.27</v>
      </c>
    </row>
    <row r="34" spans="1:4" x14ac:dyDescent="0.25">
      <c r="A34" s="23"/>
      <c r="B34" s="23"/>
      <c r="C34" s="34"/>
      <c r="D34" s="34"/>
    </row>
    <row r="35" spans="1:4" x14ac:dyDescent="0.25">
      <c r="A35" s="23"/>
      <c r="B35" s="23"/>
      <c r="C35" s="34"/>
      <c r="D35" s="34"/>
    </row>
    <row r="36" spans="1:4" x14ac:dyDescent="0.25">
      <c r="A36" s="66" t="s">
        <v>64</v>
      </c>
      <c r="B36" s="66"/>
      <c r="C36" s="24"/>
    </row>
    <row r="37" spans="1:4" x14ac:dyDescent="0.25">
      <c r="A37" s="67" t="s">
        <v>14</v>
      </c>
      <c r="B37" s="68">
        <v>5.0000000000000001E-3</v>
      </c>
      <c r="C37" s="24"/>
    </row>
    <row r="38" spans="1:4" x14ac:dyDescent="0.25">
      <c r="A38" s="67"/>
      <c r="B38" s="68"/>
      <c r="C38" s="24"/>
    </row>
    <row r="39" spans="1:4" x14ac:dyDescent="0.25">
      <c r="A39" s="33" t="s">
        <v>16</v>
      </c>
    </row>
    <row r="40" spans="1:4" x14ac:dyDescent="0.25">
      <c r="A40" s="33" t="s">
        <v>76</v>
      </c>
    </row>
    <row r="41" spans="1:4" x14ac:dyDescent="0.25">
      <c r="A41" s="33" t="s">
        <v>75</v>
      </c>
    </row>
  </sheetData>
  <mergeCells count="7">
    <mergeCell ref="A1:B1"/>
    <mergeCell ref="A36:B36"/>
    <mergeCell ref="A24:D24"/>
    <mergeCell ref="A37:A38"/>
    <mergeCell ref="B37:B38"/>
    <mergeCell ref="A5:W5"/>
    <mergeCell ref="A13:W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1"/>
  <sheetViews>
    <sheetView topLeftCell="A19" workbookViewId="0">
      <selection activeCell="C20" sqref="C20:Y20"/>
    </sheetView>
  </sheetViews>
  <sheetFormatPr defaultRowHeight="15" x14ac:dyDescent="0.25"/>
  <cols>
    <col min="3" max="3" width="15.42578125" customWidth="1"/>
    <col min="4" max="4" width="14.140625" customWidth="1"/>
    <col min="5" max="5" width="13.7109375" customWidth="1"/>
    <col min="6" max="6" width="14.5703125" customWidth="1"/>
    <col min="7" max="8" width="14" customWidth="1"/>
    <col min="9" max="9" width="13.85546875" customWidth="1"/>
    <col min="10" max="11" width="14" customWidth="1"/>
    <col min="12" max="12" width="13.28515625" customWidth="1"/>
    <col min="13" max="13" width="14.140625" customWidth="1"/>
    <col min="14" max="14" width="14" customWidth="1"/>
    <col min="15" max="15" width="13.85546875" customWidth="1"/>
    <col min="16" max="16" width="14.28515625" customWidth="1"/>
    <col min="17" max="17" width="14.140625" customWidth="1"/>
    <col min="18" max="18" width="13.5703125" customWidth="1"/>
    <col min="19" max="19" width="13.28515625" customWidth="1"/>
    <col min="20" max="20" width="13.85546875" customWidth="1"/>
    <col min="21" max="21" width="13.28515625" customWidth="1"/>
    <col min="22" max="22" width="14.5703125" customWidth="1"/>
    <col min="23" max="23" width="15" customWidth="1"/>
    <col min="24" max="24" width="14.42578125" customWidth="1"/>
    <col min="25" max="25" width="13.7109375" customWidth="1"/>
  </cols>
  <sheetData>
    <row r="1" spans="1:29" x14ac:dyDescent="0.25">
      <c r="A1" s="66" t="s">
        <v>79</v>
      </c>
      <c r="B1" s="66"/>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60" x14ac:dyDescent="0.25">
      <c r="A2" s="37" t="s">
        <v>58</v>
      </c>
      <c r="B2" s="25" t="s">
        <v>66</v>
      </c>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29" ht="60" x14ac:dyDescent="0.25">
      <c r="A3" s="37" t="s">
        <v>59</v>
      </c>
      <c r="B3" s="25">
        <v>0.19</v>
      </c>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29" x14ac:dyDescent="0.25">
      <c r="A5" s="66" t="s">
        <v>62</v>
      </c>
      <c r="B5" s="66"/>
      <c r="C5" s="66"/>
      <c r="D5" s="66"/>
      <c r="E5" s="66"/>
      <c r="F5" s="66"/>
      <c r="G5" s="66"/>
      <c r="H5" s="66"/>
      <c r="I5" s="66"/>
      <c r="J5" s="66"/>
      <c r="K5" s="66"/>
      <c r="L5" s="66"/>
      <c r="M5" s="66"/>
      <c r="N5" s="66"/>
      <c r="O5" s="66"/>
      <c r="P5" s="66"/>
      <c r="Q5" s="66"/>
      <c r="R5" s="66"/>
      <c r="S5" s="66"/>
      <c r="T5" s="66"/>
      <c r="U5" s="66"/>
      <c r="V5" s="66"/>
      <c r="W5" s="66"/>
      <c r="X5" s="20"/>
      <c r="Y5" s="20"/>
      <c r="Z5" s="20"/>
      <c r="AA5" s="20"/>
      <c r="AB5" s="20"/>
      <c r="AC5" s="20"/>
    </row>
    <row r="6" spans="1:29" ht="45" x14ac:dyDescent="0.25">
      <c r="A6" s="37" t="s">
        <v>9</v>
      </c>
      <c r="B6" s="37" t="s">
        <v>1</v>
      </c>
      <c r="C6" s="27" t="s">
        <v>51</v>
      </c>
      <c r="D6" s="37">
        <v>2017</v>
      </c>
      <c r="E6" s="37">
        <v>2018</v>
      </c>
      <c r="F6" s="37">
        <v>2019</v>
      </c>
      <c r="G6" s="37">
        <v>2020</v>
      </c>
      <c r="H6" s="37">
        <v>2021</v>
      </c>
      <c r="I6" s="37">
        <v>2022</v>
      </c>
      <c r="J6" s="37">
        <v>2023</v>
      </c>
      <c r="K6" s="37">
        <v>2024</v>
      </c>
      <c r="L6" s="37">
        <v>2025</v>
      </c>
      <c r="M6" s="37">
        <v>2026</v>
      </c>
      <c r="N6" s="37">
        <v>2027</v>
      </c>
      <c r="O6" s="37">
        <v>2028</v>
      </c>
      <c r="P6" s="37">
        <v>2029</v>
      </c>
      <c r="Q6" s="37">
        <v>2030</v>
      </c>
      <c r="R6" s="37">
        <v>2031</v>
      </c>
      <c r="S6" s="37">
        <v>2032</v>
      </c>
      <c r="T6" s="37">
        <v>2033</v>
      </c>
      <c r="U6" s="37">
        <v>2034</v>
      </c>
      <c r="V6" s="37">
        <v>2035</v>
      </c>
      <c r="W6" s="37">
        <v>2036</v>
      </c>
      <c r="X6" s="20"/>
      <c r="Y6" s="20"/>
      <c r="Z6" s="20"/>
      <c r="AA6" s="20"/>
      <c r="AB6" s="20"/>
      <c r="AC6" s="20"/>
    </row>
    <row r="7" spans="1:29" x14ac:dyDescent="0.25">
      <c r="A7" s="28">
        <v>1</v>
      </c>
      <c r="B7" s="28" t="s">
        <v>13</v>
      </c>
      <c r="C7" s="25">
        <v>0</v>
      </c>
      <c r="D7" s="35">
        <f>$C7*(1+$B$37)^2*$B$3</f>
        <v>0</v>
      </c>
      <c r="E7" s="35">
        <f>$C7*(1+$B$37)^3*$B$3</f>
        <v>0</v>
      </c>
      <c r="F7" s="35">
        <f>$C7*(1+$B$37)^4*$B$3</f>
        <v>0</v>
      </c>
      <c r="G7" s="35">
        <f>$C7*(1+$B$37)^5*$B$3</f>
        <v>0</v>
      </c>
      <c r="H7" s="35">
        <f>$C7*(1+$B$37)^6*$B$3</f>
        <v>0</v>
      </c>
      <c r="I7" s="35">
        <f>$C7*(1+$B$37)^7*$B$3</f>
        <v>0</v>
      </c>
      <c r="J7" s="35">
        <f>$C7*(1+$B$37)^8*$B$3</f>
        <v>0</v>
      </c>
      <c r="K7" s="35">
        <f>$C7*(1+$B$37)^9*$B$3</f>
        <v>0</v>
      </c>
      <c r="L7" s="35">
        <f>$C7*(1+$B$37)^10*$B$3</f>
        <v>0</v>
      </c>
      <c r="M7" s="35">
        <f>$C7*(1+$B$37)^11*$B$3</f>
        <v>0</v>
      </c>
      <c r="N7" s="35">
        <f>$C7*(1+$B$37)^12*$B$3</f>
        <v>0</v>
      </c>
      <c r="O7" s="35">
        <f>$C7*(1+$B$37)^13*$B$3</f>
        <v>0</v>
      </c>
      <c r="P7" s="35">
        <f>$C7*(1+$B$37)^14*$B$3</f>
        <v>0</v>
      </c>
      <c r="Q7" s="35">
        <f>$C7*(1+$B$37)^15*$B$3</f>
        <v>0</v>
      </c>
      <c r="R7" s="35">
        <f>$C7*(1+$B$37)^16*$B$3</f>
        <v>0</v>
      </c>
      <c r="S7" s="35">
        <f>$C7*(1+$B$37)^17*$B$3</f>
        <v>0</v>
      </c>
      <c r="T7" s="35">
        <f>$C7*(1+$B$37)^18*$B$3</f>
        <v>0</v>
      </c>
      <c r="U7" s="35">
        <f>$C7*(1+$B$37)^19*$B$3</f>
        <v>0</v>
      </c>
      <c r="V7" s="35">
        <f>$C7*(1+$B$37)^20*$B$3</f>
        <v>0</v>
      </c>
      <c r="W7" s="35">
        <f>$C7*(1+$B$37)^21*$B$3</f>
        <v>0</v>
      </c>
      <c r="X7" s="20"/>
      <c r="Y7" s="20"/>
      <c r="Z7" s="20"/>
      <c r="AA7" s="20"/>
      <c r="AB7" s="20"/>
      <c r="AC7" s="20"/>
    </row>
    <row r="8" spans="1:29" ht="30" x14ac:dyDescent="0.25">
      <c r="A8" s="28">
        <v>2</v>
      </c>
      <c r="B8" s="28" t="s">
        <v>12</v>
      </c>
      <c r="C8" s="25">
        <v>2.1</v>
      </c>
      <c r="D8" s="35">
        <f>$C8*(1+$B$37)^2*$B$3</f>
        <v>0.4029999749999999</v>
      </c>
      <c r="E8" s="35">
        <f>$C8*(1+$B$37)^3*$B$3</f>
        <v>0.40501497487499988</v>
      </c>
      <c r="F8" s="35">
        <f>$C8*(1+$B$37)^4*$B$3</f>
        <v>0.4070400497493748</v>
      </c>
      <c r="G8" s="35">
        <f>$C8*(1+$B$37)^5*$B$3</f>
        <v>0.40907524999812156</v>
      </c>
      <c r="H8" s="35">
        <f>$C8*(1+$B$37)^6*$B$3</f>
        <v>0.41112062624811208</v>
      </c>
      <c r="I8" s="35">
        <f>$C8*(1+$B$37)^7*$B$3</f>
        <v>0.41317622937935261</v>
      </c>
      <c r="J8" s="35">
        <f>$C8*(1+$B$37)^8*$B$3</f>
        <v>0.41524211052624938</v>
      </c>
      <c r="K8" s="35">
        <f>$C8*(1+$B$37)^9*$B$3</f>
        <v>0.41731832107888062</v>
      </c>
      <c r="L8" s="35">
        <f>$C8*(1+$B$37)^10*$B$3</f>
        <v>0.41940491268427493</v>
      </c>
      <c r="M8" s="35">
        <f>$C8*(1+$B$37)^11*$B$3</f>
        <v>0.42150193724769625</v>
      </c>
      <c r="N8" s="35">
        <f>$C8*(1+$B$37)^12*$B$3</f>
        <v>0.4236094469339346</v>
      </c>
      <c r="O8" s="35">
        <f>$C8*(1+$B$37)^13*$B$3</f>
        <v>0.42572749416860423</v>
      </c>
      <c r="P8" s="35">
        <f>$C8*(1+$B$37)^14*$B$3</f>
        <v>0.42785613163944719</v>
      </c>
      <c r="Q8" s="35">
        <f>$C8*(1+$B$37)^15*$B$3</f>
        <v>0.42999541229764426</v>
      </c>
      <c r="R8" s="35">
        <f>$C8*(1+$B$37)^16*$B$3</f>
        <v>0.43214538935913244</v>
      </c>
      <c r="S8" s="35">
        <f>$C8*(1+$B$37)^17*$B$3</f>
        <v>0.43430611630592814</v>
      </c>
      <c r="T8" s="35">
        <f>$C8*(1+$B$37)^18*$B$3</f>
        <v>0.4364776468874576</v>
      </c>
      <c r="U8" s="35">
        <f>$C8*(1+$B$37)^19*$B$3</f>
        <v>0.43866003512189489</v>
      </c>
      <c r="V8" s="35">
        <f>$C8*(1+$B$37)^20*$B$3</f>
        <v>0.44085333529750431</v>
      </c>
      <c r="W8" s="35">
        <f>$C8*(1+$B$37)^21*$B$3</f>
        <v>0.44305760197399169</v>
      </c>
      <c r="X8" s="20"/>
      <c r="Y8" s="20"/>
      <c r="Z8" s="20"/>
      <c r="AA8" s="20"/>
      <c r="AB8" s="20"/>
      <c r="AC8" s="20"/>
    </row>
    <row r="9" spans="1:29" ht="45" x14ac:dyDescent="0.25">
      <c r="A9" s="28">
        <v>3</v>
      </c>
      <c r="B9" s="28" t="s">
        <v>53</v>
      </c>
      <c r="C9" s="25">
        <v>6.3</v>
      </c>
      <c r="D9" s="35">
        <f>$C9*(1+$B$37)^2*$B$3</f>
        <v>1.2089999249999996</v>
      </c>
      <c r="E9" s="35">
        <f>$C9*(1+$B$37)^3*$B$3</f>
        <v>1.2150449246249995</v>
      </c>
      <c r="F9" s="35">
        <f>$C9*(1+$B$37)^4*$B$3</f>
        <v>1.2211201492481243</v>
      </c>
      <c r="G9" s="35">
        <f>$C9*(1+$B$37)^5*$B$3</f>
        <v>1.2272257499943646</v>
      </c>
      <c r="H9" s="35">
        <f>$C9*(1+$B$37)^6*$B$3</f>
        <v>1.2333618787443361</v>
      </c>
      <c r="I9" s="35">
        <f>$C9*(1+$B$37)^7*$B$3</f>
        <v>1.2395286881380576</v>
      </c>
      <c r="J9" s="35">
        <f>$C9*(1+$B$37)^8*$B$3</f>
        <v>1.2457263315787479</v>
      </c>
      <c r="K9" s="35">
        <f>$C9*(1+$B$37)^9*$B$3</f>
        <v>1.2519549632366418</v>
      </c>
      <c r="L9" s="35">
        <f>$C9*(1+$B$37)^10*$B$3</f>
        <v>1.2582147380528246</v>
      </c>
      <c r="M9" s="35">
        <f>$C9*(1+$B$37)^11*$B$3</f>
        <v>1.2645058117430887</v>
      </c>
      <c r="N9" s="35">
        <f>$C9*(1+$B$37)^12*$B$3</f>
        <v>1.2708283408018037</v>
      </c>
      <c r="O9" s="35">
        <f>$C9*(1+$B$37)^13*$B$3</f>
        <v>1.2771824825058127</v>
      </c>
      <c r="P9" s="35">
        <f>$C9*(1+$B$37)^14*$B$3</f>
        <v>1.2835683949183414</v>
      </c>
      <c r="Q9" s="35">
        <f>$C9*(1+$B$37)^15*$B$3</f>
        <v>1.2899862368929329</v>
      </c>
      <c r="R9" s="35">
        <f>$C9*(1+$B$37)^16*$B$3</f>
        <v>1.2964361680773973</v>
      </c>
      <c r="S9" s="35">
        <f>$C9*(1+$B$37)^17*$B$3</f>
        <v>1.3029183489177842</v>
      </c>
      <c r="T9" s="35">
        <f>$C9*(1+$B$37)^18*$B$3</f>
        <v>1.3094329406623728</v>
      </c>
      <c r="U9" s="35">
        <f>$C9*(1+$B$37)^19*$B$3</f>
        <v>1.3159801053656843</v>
      </c>
      <c r="V9" s="35">
        <f>$C9*(1+$B$37)^20*$B$3</f>
        <v>1.3225600058925127</v>
      </c>
      <c r="W9" s="35">
        <f>$C9*(1+$B$37)^21*$B$3</f>
        <v>1.329172805921975</v>
      </c>
      <c r="X9" s="20"/>
      <c r="Y9" s="20"/>
      <c r="Z9" s="20"/>
      <c r="AA9" s="20"/>
      <c r="AB9" s="20"/>
      <c r="AC9" s="20"/>
    </row>
    <row r="10" spans="1:29" ht="30" x14ac:dyDescent="0.25">
      <c r="A10" s="28">
        <v>4</v>
      </c>
      <c r="B10" s="28" t="s">
        <v>11</v>
      </c>
      <c r="C10" s="25">
        <v>24.5</v>
      </c>
      <c r="D10" s="35">
        <f>$C10*(1+$B$37)^2*$B$3</f>
        <v>4.7016663749999985</v>
      </c>
      <c r="E10" s="35">
        <f>$C10*(1+$B$37)^3*$B$3</f>
        <v>4.7251747068749985</v>
      </c>
      <c r="F10" s="35">
        <f>$C10*(1+$B$37)^4*$B$3</f>
        <v>4.7488005804093723</v>
      </c>
      <c r="G10" s="35">
        <f>$C10*(1+$B$37)^5*$B$3</f>
        <v>4.7725445833114177</v>
      </c>
      <c r="H10" s="35">
        <f>$C10*(1+$B$37)^6*$B$3</f>
        <v>4.7964073062279748</v>
      </c>
      <c r="I10" s="35">
        <f>$C10*(1+$B$37)^7*$B$3</f>
        <v>4.820389342759114</v>
      </c>
      <c r="J10" s="35">
        <f>$C10*(1+$B$37)^8*$B$3</f>
        <v>4.8444912894729084</v>
      </c>
      <c r="K10" s="35">
        <f>$C10*(1+$B$37)^9*$B$3</f>
        <v>4.8687137459202736</v>
      </c>
      <c r="L10" s="35">
        <f>$C10*(1+$B$37)^10*$B$3</f>
        <v>4.893057314649873</v>
      </c>
      <c r="M10" s="35">
        <f>$C10*(1+$B$37)^11*$B$3</f>
        <v>4.9175226012231228</v>
      </c>
      <c r="N10" s="35">
        <f>$C10*(1+$B$37)^12*$B$3</f>
        <v>4.9421102142292366</v>
      </c>
      <c r="O10" s="35">
        <f>$C10*(1+$B$37)^13*$B$3</f>
        <v>4.9668207653003824</v>
      </c>
      <c r="P10" s="35">
        <f>$C10*(1+$B$37)^14*$B$3</f>
        <v>4.9916548691268829</v>
      </c>
      <c r="Q10" s="35">
        <f>$C10*(1+$B$37)^15*$B$3</f>
        <v>5.0166131434725161</v>
      </c>
      <c r="R10" s="35">
        <f>$C10*(1+$B$37)^16*$B$3</f>
        <v>5.0416962091898787</v>
      </c>
      <c r="S10" s="35">
        <f>$C10*(1+$B$37)^17*$B$3</f>
        <v>5.0669046902358277</v>
      </c>
      <c r="T10" s="35">
        <f>$C10*(1+$B$37)^18*$B$3</f>
        <v>5.0922392136870052</v>
      </c>
      <c r="U10" s="35">
        <f>$C10*(1+$B$37)^19*$B$3</f>
        <v>5.1177004097554395</v>
      </c>
      <c r="V10" s="35">
        <f>$C10*(1+$B$37)^20*$B$3</f>
        <v>5.1432889118042162</v>
      </c>
      <c r="W10" s="35">
        <f>$C10*(1+$B$37)^21*$B$3</f>
        <v>5.1690053563632361</v>
      </c>
      <c r="X10" s="20"/>
      <c r="Y10" s="20"/>
      <c r="Z10" s="20"/>
      <c r="AA10" s="20"/>
      <c r="AB10" s="20"/>
      <c r="AC10" s="20"/>
    </row>
    <row r="11" spans="1:29" ht="60" x14ac:dyDescent="0.25">
      <c r="A11" s="28">
        <v>5</v>
      </c>
      <c r="B11" s="28" t="s">
        <v>55</v>
      </c>
      <c r="C11" s="25">
        <v>36.4</v>
      </c>
      <c r="D11" s="35">
        <f>$C11*(1+$B$37)^2*$B$3</f>
        <v>6.9853328999999977</v>
      </c>
      <c r="E11" s="35">
        <f>$C11*(1+$B$37)^3*$B$3</f>
        <v>7.0202595644999972</v>
      </c>
      <c r="F11" s="35">
        <f>$C11*(1+$B$37)^4*$B$3</f>
        <v>7.0553608623224946</v>
      </c>
      <c r="G11" s="35">
        <f>$C11*(1+$B$37)^5*$B$3</f>
        <v>7.0906376666341062</v>
      </c>
      <c r="H11" s="35">
        <f>$C11*(1+$B$37)^6*$B$3</f>
        <v>7.1260908549672761</v>
      </c>
      <c r="I11" s="35">
        <f>$C11*(1+$B$37)^7*$B$3</f>
        <v>7.161721309242111</v>
      </c>
      <c r="J11" s="35">
        <f>$C11*(1+$B$37)^8*$B$3</f>
        <v>7.197529915788321</v>
      </c>
      <c r="K11" s="35">
        <f>$C11*(1+$B$37)^9*$B$3</f>
        <v>7.2335175653672623</v>
      </c>
      <c r="L11" s="35">
        <f>$C11*(1+$B$37)^10*$B$3</f>
        <v>7.2696851531940974</v>
      </c>
      <c r="M11" s="35">
        <f>$C11*(1+$B$37)^11*$B$3</f>
        <v>7.3060335789600677</v>
      </c>
      <c r="N11" s="35">
        <f>$C11*(1+$B$37)^12*$B$3</f>
        <v>7.3425637468548652</v>
      </c>
      <c r="O11" s="35">
        <f>$C11*(1+$B$37)^13*$B$3</f>
        <v>7.3792765655891399</v>
      </c>
      <c r="P11" s="35">
        <f>$C11*(1+$B$37)^14*$B$3</f>
        <v>7.4161729484170831</v>
      </c>
      <c r="Q11" s="35">
        <f>$C11*(1+$B$37)^15*$B$3</f>
        <v>7.4532538131591668</v>
      </c>
      <c r="R11" s="35">
        <f>$C11*(1+$B$37)^16*$B$3</f>
        <v>7.490520082224962</v>
      </c>
      <c r="S11" s="35">
        <f>$C11*(1+$B$37)^17*$B$3</f>
        <v>7.5279726826360864</v>
      </c>
      <c r="T11" s="35">
        <f>$C11*(1+$B$37)^18*$B$3</f>
        <v>7.5656125460492643</v>
      </c>
      <c r="U11" s="35">
        <f>$C11*(1+$B$37)^19*$B$3</f>
        <v>7.6034406087795103</v>
      </c>
      <c r="V11" s="35">
        <f>$C11*(1+$B$37)^20*$B$3</f>
        <v>7.6414578118234076</v>
      </c>
      <c r="W11" s="35">
        <f>$C11*(1+$B$37)^21*$B$3</f>
        <v>7.6796651008825219</v>
      </c>
      <c r="X11" s="20"/>
      <c r="Y11" s="20"/>
      <c r="Z11" s="20"/>
      <c r="AA11" s="20"/>
      <c r="AB11" s="20"/>
      <c r="AC11" s="20"/>
    </row>
    <row r="12" spans="1:29"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row>
    <row r="13" spans="1:29"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c r="X13" s="20"/>
      <c r="Y13" s="20"/>
      <c r="Z13" s="20"/>
      <c r="AA13" s="20"/>
      <c r="AB13" s="20"/>
      <c r="AC13" s="20"/>
    </row>
    <row r="14" spans="1:29" ht="60" x14ac:dyDescent="0.25">
      <c r="A14" s="37" t="s">
        <v>9</v>
      </c>
      <c r="B14" s="37" t="s">
        <v>1</v>
      </c>
      <c r="C14" s="37" t="s">
        <v>57</v>
      </c>
      <c r="D14" s="37">
        <v>2017</v>
      </c>
      <c r="E14" s="37">
        <v>2018</v>
      </c>
      <c r="F14" s="37">
        <v>2019</v>
      </c>
      <c r="G14" s="37">
        <v>2020</v>
      </c>
      <c r="H14" s="37">
        <v>2021</v>
      </c>
      <c r="I14" s="37">
        <v>2022</v>
      </c>
      <c r="J14" s="37">
        <v>2023</v>
      </c>
      <c r="K14" s="37">
        <v>2024</v>
      </c>
      <c r="L14" s="37">
        <v>2025</v>
      </c>
      <c r="M14" s="37">
        <v>2026</v>
      </c>
      <c r="N14" s="37">
        <v>2027</v>
      </c>
      <c r="O14" s="37">
        <v>2028</v>
      </c>
      <c r="P14" s="37">
        <v>2029</v>
      </c>
      <c r="Q14" s="37">
        <v>2030</v>
      </c>
      <c r="R14" s="37">
        <v>2031</v>
      </c>
      <c r="S14" s="37">
        <v>2032</v>
      </c>
      <c r="T14" s="37">
        <v>2033</v>
      </c>
      <c r="U14" s="37">
        <v>2034</v>
      </c>
      <c r="V14" s="37">
        <v>2035</v>
      </c>
      <c r="W14" s="37">
        <v>2036</v>
      </c>
      <c r="X14" s="20"/>
      <c r="Y14" s="20"/>
      <c r="Z14" s="20"/>
      <c r="AA14" s="20"/>
      <c r="AB14" s="20"/>
      <c r="AC14" s="20"/>
    </row>
    <row r="15" spans="1:29" x14ac:dyDescent="0.25">
      <c r="A15" s="28">
        <v>1</v>
      </c>
      <c r="B15" s="28" t="s">
        <v>13</v>
      </c>
      <c r="C15" s="31">
        <f>D32+2*D33</f>
        <v>9299932.5399999991</v>
      </c>
      <c r="D15" s="31">
        <f t="shared" ref="D15:W15" si="0">D$7*$C$15</f>
        <v>0</v>
      </c>
      <c r="E15" s="31">
        <f t="shared" si="0"/>
        <v>0</v>
      </c>
      <c r="F15" s="31">
        <f t="shared" si="0"/>
        <v>0</v>
      </c>
      <c r="G15" s="31">
        <f t="shared" si="0"/>
        <v>0</v>
      </c>
      <c r="H15" s="31">
        <f t="shared" si="0"/>
        <v>0</v>
      </c>
      <c r="I15" s="31">
        <f t="shared" si="0"/>
        <v>0</v>
      </c>
      <c r="J15" s="31">
        <f t="shared" si="0"/>
        <v>0</v>
      </c>
      <c r="K15" s="31">
        <f t="shared" si="0"/>
        <v>0</v>
      </c>
      <c r="L15" s="31">
        <f t="shared" si="0"/>
        <v>0</v>
      </c>
      <c r="M15" s="31">
        <f t="shared" si="0"/>
        <v>0</v>
      </c>
      <c r="N15" s="31">
        <f t="shared" si="0"/>
        <v>0</v>
      </c>
      <c r="O15" s="31">
        <f t="shared" si="0"/>
        <v>0</v>
      </c>
      <c r="P15" s="31">
        <f t="shared" si="0"/>
        <v>0</v>
      </c>
      <c r="Q15" s="31">
        <f t="shared" si="0"/>
        <v>0</v>
      </c>
      <c r="R15" s="31">
        <f t="shared" si="0"/>
        <v>0</v>
      </c>
      <c r="S15" s="31">
        <f t="shared" si="0"/>
        <v>0</v>
      </c>
      <c r="T15" s="31">
        <f t="shared" si="0"/>
        <v>0</v>
      </c>
      <c r="U15" s="31">
        <f t="shared" si="0"/>
        <v>0</v>
      </c>
      <c r="V15" s="31">
        <f t="shared" si="0"/>
        <v>0</v>
      </c>
      <c r="W15" s="31">
        <f t="shared" si="0"/>
        <v>0</v>
      </c>
      <c r="X15" s="20"/>
      <c r="Y15" s="20"/>
      <c r="Z15" s="20"/>
      <c r="AA15" s="20"/>
      <c r="AB15" s="20"/>
      <c r="AC15" s="20"/>
    </row>
    <row r="16" spans="1:29" ht="30" x14ac:dyDescent="0.25">
      <c r="A16" s="28">
        <v>2</v>
      </c>
      <c r="B16" s="28" t="s">
        <v>12</v>
      </c>
      <c r="C16" s="31">
        <f>0.03437*D26+0.55449*D27+0.20908*D28+0.14437*D29+0.03986*D30+0.01783*D31+0*D32+2*D33</f>
        <v>453530.47675999999</v>
      </c>
      <c r="D16" s="31">
        <f t="shared" ref="D16:W16" si="1">D$8*$C$16</f>
        <v>182772.77079601804</v>
      </c>
      <c r="E16" s="31">
        <f t="shared" si="1"/>
        <v>183686.6346499981</v>
      </c>
      <c r="F16" s="31">
        <f t="shared" si="1"/>
        <v>184605.06782324807</v>
      </c>
      <c r="G16" s="31">
        <f t="shared" si="1"/>
        <v>185528.09316236427</v>
      </c>
      <c r="H16" s="31">
        <f t="shared" si="1"/>
        <v>186455.73362817604</v>
      </c>
      <c r="I16" s="31">
        <f t="shared" si="1"/>
        <v>187388.01229631691</v>
      </c>
      <c r="J16" s="31">
        <f t="shared" si="1"/>
        <v>188324.95235779849</v>
      </c>
      <c r="K16" s="31">
        <f t="shared" si="1"/>
        <v>189266.57711958748</v>
      </c>
      <c r="L16" s="31">
        <f t="shared" si="1"/>
        <v>190212.91000518537</v>
      </c>
      <c r="M16" s="31">
        <f t="shared" si="1"/>
        <v>191163.97455521129</v>
      </c>
      <c r="N16" s="31">
        <f t="shared" si="1"/>
        <v>192119.79442798728</v>
      </c>
      <c r="O16" s="31">
        <f t="shared" si="1"/>
        <v>193080.39340012718</v>
      </c>
      <c r="P16" s="31">
        <f t="shared" si="1"/>
        <v>194045.79536712781</v>
      </c>
      <c r="Q16" s="31">
        <f t="shared" si="1"/>
        <v>195016.02434396336</v>
      </c>
      <c r="R16" s="31">
        <f t="shared" si="1"/>
        <v>195991.10446568317</v>
      </c>
      <c r="S16" s="31">
        <f t="shared" si="1"/>
        <v>196971.05998801161</v>
      </c>
      <c r="T16" s="31">
        <f t="shared" si="1"/>
        <v>197955.91528795156</v>
      </c>
      <c r="U16" s="31">
        <f t="shared" si="1"/>
        <v>198945.69486439132</v>
      </c>
      <c r="V16" s="31">
        <f t="shared" si="1"/>
        <v>199940.42333871327</v>
      </c>
      <c r="W16" s="31">
        <f t="shared" si="1"/>
        <v>200940.12545540676</v>
      </c>
      <c r="X16" s="20"/>
      <c r="Y16" s="20"/>
      <c r="Z16" s="20"/>
      <c r="AA16" s="20"/>
      <c r="AB16" s="20"/>
      <c r="AC16" s="20"/>
    </row>
    <row r="17" spans="1:29" ht="45" x14ac:dyDescent="0.25">
      <c r="A17" s="28">
        <v>3</v>
      </c>
      <c r="B17" s="28" t="s">
        <v>53</v>
      </c>
      <c r="C17" s="31">
        <f>0.08347*D26+0.76843*D27+0.10898*D28+0.03191*D29+0.0062*D30+0.00101*D31+0*D32+2*D33</f>
        <v>129158.27075999998</v>
      </c>
      <c r="D17" s="31">
        <f t="shared" ref="D17:W17" si="2">D$9*$C$17</f>
        <v>156152.33966196963</v>
      </c>
      <c r="E17" s="31">
        <f t="shared" si="2"/>
        <v>156933.10136027946</v>
      </c>
      <c r="F17" s="31">
        <f t="shared" si="2"/>
        <v>157717.76686708082</v>
      </c>
      <c r="G17" s="31">
        <f t="shared" si="2"/>
        <v>158506.35570141621</v>
      </c>
      <c r="H17" s="31">
        <f t="shared" si="2"/>
        <v>159298.88747992323</v>
      </c>
      <c r="I17" s="31">
        <f t="shared" si="2"/>
        <v>160095.38191732284</v>
      </c>
      <c r="J17" s="31">
        <f t="shared" si="2"/>
        <v>160895.85882690945</v>
      </c>
      <c r="K17" s="31">
        <f t="shared" si="2"/>
        <v>161700.33812104401</v>
      </c>
      <c r="L17" s="31">
        <f t="shared" si="2"/>
        <v>162508.83981164917</v>
      </c>
      <c r="M17" s="31">
        <f t="shared" si="2"/>
        <v>163321.38401070744</v>
      </c>
      <c r="N17" s="31">
        <f t="shared" si="2"/>
        <v>164137.99093076089</v>
      </c>
      <c r="O17" s="31">
        <f t="shared" si="2"/>
        <v>164958.68088541471</v>
      </c>
      <c r="P17" s="31">
        <f t="shared" si="2"/>
        <v>165783.47428984172</v>
      </c>
      <c r="Q17" s="31">
        <f t="shared" si="2"/>
        <v>166612.39166129092</v>
      </c>
      <c r="R17" s="31">
        <f t="shared" si="2"/>
        <v>167445.45361959733</v>
      </c>
      <c r="S17" s="31">
        <f t="shared" si="2"/>
        <v>168282.68088769531</v>
      </c>
      <c r="T17" s="31">
        <f t="shared" si="2"/>
        <v>169124.09429213376</v>
      </c>
      <c r="U17" s="31">
        <f t="shared" si="2"/>
        <v>169969.71476359435</v>
      </c>
      <c r="V17" s="31">
        <f t="shared" si="2"/>
        <v>170819.56333741231</v>
      </c>
      <c r="W17" s="31">
        <f t="shared" si="2"/>
        <v>171673.66115409936</v>
      </c>
      <c r="X17" s="20"/>
      <c r="Y17" s="20"/>
      <c r="Z17" s="20"/>
      <c r="AA17" s="20"/>
      <c r="AB17" s="20"/>
      <c r="AC17" s="20"/>
    </row>
    <row r="18" spans="1:29" ht="30" x14ac:dyDescent="0.25">
      <c r="A18" s="28">
        <v>4</v>
      </c>
      <c r="B18" s="28" t="s">
        <v>11</v>
      </c>
      <c r="C18" s="31">
        <f>0.23437*D26+0.68946*D27+0.06391*D28+0.01071*D29+0.00142*D30+0.00013*D31+0*D32+2*D33</f>
        <v>69781.396919999985</v>
      </c>
      <c r="D18" s="31">
        <f t="shared" ref="D18:W18" si="3">D$10*$C$18</f>
        <v>328088.8474992924</v>
      </c>
      <c r="E18" s="31">
        <f t="shared" si="3"/>
        <v>329729.29173678887</v>
      </c>
      <c r="F18" s="31">
        <f t="shared" si="3"/>
        <v>331377.9381954727</v>
      </c>
      <c r="G18" s="31">
        <f t="shared" si="3"/>
        <v>333034.82788644999</v>
      </c>
      <c r="H18" s="31">
        <f t="shared" si="3"/>
        <v>334700.00202588225</v>
      </c>
      <c r="I18" s="31">
        <f t="shared" si="3"/>
        <v>336373.5020360116</v>
      </c>
      <c r="J18" s="31">
        <f t="shared" si="3"/>
        <v>338055.36954619159</v>
      </c>
      <c r="K18" s="31">
        <f t="shared" si="3"/>
        <v>339745.64639392257</v>
      </c>
      <c r="L18" s="31">
        <f t="shared" si="3"/>
        <v>341444.37462589203</v>
      </c>
      <c r="M18" s="31">
        <f t="shared" si="3"/>
        <v>343151.59649902151</v>
      </c>
      <c r="N18" s="31">
        <f t="shared" si="3"/>
        <v>344867.35448151652</v>
      </c>
      <c r="O18" s="31">
        <f t="shared" si="3"/>
        <v>346591.69125392404</v>
      </c>
      <c r="P18" s="31">
        <f t="shared" si="3"/>
        <v>348324.64971019357</v>
      </c>
      <c r="Q18" s="31">
        <f t="shared" si="3"/>
        <v>350066.27295874449</v>
      </c>
      <c r="R18" s="31">
        <f t="shared" si="3"/>
        <v>351816.60432353819</v>
      </c>
      <c r="S18" s="31">
        <f t="shared" si="3"/>
        <v>353575.68734515586</v>
      </c>
      <c r="T18" s="31">
        <f t="shared" si="3"/>
        <v>355343.56578188151</v>
      </c>
      <c r="U18" s="31">
        <f t="shared" si="3"/>
        <v>357120.28361079091</v>
      </c>
      <c r="V18" s="31">
        <f t="shared" si="3"/>
        <v>358905.88502884482</v>
      </c>
      <c r="W18" s="31">
        <f t="shared" si="3"/>
        <v>360700.41445398895</v>
      </c>
      <c r="X18" s="20"/>
      <c r="Y18" s="20"/>
      <c r="Z18" s="20"/>
      <c r="AA18" s="20"/>
      <c r="AB18" s="20"/>
      <c r="AC18" s="20"/>
    </row>
    <row r="19" spans="1:29" ht="60" x14ac:dyDescent="0.25">
      <c r="A19" s="28">
        <v>5</v>
      </c>
      <c r="B19" s="28" t="s">
        <v>55</v>
      </c>
      <c r="C19" s="31">
        <f>0.92534*D26+0.07257*D27+0.00198*D28+0.00008*D29+0*D30+0.00003*D31+0*D32+2*D33</f>
        <v>11063.572319999999</v>
      </c>
      <c r="D19" s="31">
        <f t="shared" ref="D19:W19" si="4">D$11*$C$19</f>
        <v>77282.735718425305</v>
      </c>
      <c r="E19" s="31">
        <f t="shared" si="4"/>
        <v>77669.14939701742</v>
      </c>
      <c r="F19" s="31">
        <f t="shared" si="4"/>
        <v>78057.495144002474</v>
      </c>
      <c r="G19" s="31">
        <f t="shared" si="4"/>
        <v>78447.782619722479</v>
      </c>
      <c r="H19" s="31">
        <f t="shared" si="4"/>
        <v>78840.021532821091</v>
      </c>
      <c r="I19" s="31">
        <f t="shared" si="4"/>
        <v>79234.221640485179</v>
      </c>
      <c r="J19" s="31">
        <f t="shared" si="4"/>
        <v>79630.392748687591</v>
      </c>
      <c r="K19" s="31">
        <f t="shared" si="4"/>
        <v>80028.54471243103</v>
      </c>
      <c r="L19" s="31">
        <f t="shared" si="4"/>
        <v>80428.687435993168</v>
      </c>
      <c r="M19" s="31">
        <f t="shared" si="4"/>
        <v>80830.830873173138</v>
      </c>
      <c r="N19" s="31">
        <f t="shared" si="4"/>
        <v>81234.985027538962</v>
      </c>
      <c r="O19" s="31">
        <f t="shared" si="4"/>
        <v>81641.159952676666</v>
      </c>
      <c r="P19" s="31">
        <f t="shared" si="4"/>
        <v>82049.365752440019</v>
      </c>
      <c r="Q19" s="31">
        <f t="shared" si="4"/>
        <v>82459.612581202207</v>
      </c>
      <c r="R19" s="31">
        <f t="shared" si="4"/>
        <v>82871.910644108211</v>
      </c>
      <c r="S19" s="31">
        <f t="shared" si="4"/>
        <v>83286.270197328748</v>
      </c>
      <c r="T19" s="31">
        <f t="shared" si="4"/>
        <v>83702.701548315366</v>
      </c>
      <c r="U19" s="31">
        <f t="shared" si="4"/>
        <v>84121.215056056928</v>
      </c>
      <c r="V19" s="31">
        <f t="shared" si="4"/>
        <v>84541.821131337216</v>
      </c>
      <c r="W19" s="31">
        <f t="shared" si="4"/>
        <v>84964.530236993873</v>
      </c>
      <c r="X19" s="37" t="s">
        <v>61</v>
      </c>
      <c r="Y19" s="20"/>
      <c r="Z19" s="20"/>
      <c r="AA19" s="20"/>
      <c r="AB19" s="20"/>
      <c r="AC19" s="20"/>
    </row>
    <row r="20" spans="1:29" ht="60" x14ac:dyDescent="0.25">
      <c r="A20" s="20"/>
      <c r="B20" s="20"/>
      <c r="C20" s="27" t="s">
        <v>60</v>
      </c>
      <c r="D20" s="31">
        <f>SUM(D15:D19)</f>
        <v>744296.69367570546</v>
      </c>
      <c r="E20" s="31">
        <f t="shared" ref="E20:W20" si="5">SUM(E15:E19)</f>
        <v>748018.17714408389</v>
      </c>
      <c r="F20" s="31">
        <f t="shared" si="5"/>
        <v>751758.26802980411</v>
      </c>
      <c r="G20" s="31">
        <f t="shared" si="5"/>
        <v>755517.05936995288</v>
      </c>
      <c r="H20" s="31">
        <f t="shared" si="5"/>
        <v>759294.6446668026</v>
      </c>
      <c r="I20" s="31">
        <f t="shared" si="5"/>
        <v>763091.11789013667</v>
      </c>
      <c r="J20" s="31">
        <f t="shared" si="5"/>
        <v>766906.57347958721</v>
      </c>
      <c r="K20" s="31">
        <f t="shared" si="5"/>
        <v>770741.10634698509</v>
      </c>
      <c r="L20" s="31">
        <f t="shared" si="5"/>
        <v>774594.81187871983</v>
      </c>
      <c r="M20" s="31">
        <f t="shared" si="5"/>
        <v>778467.78593811346</v>
      </c>
      <c r="N20" s="31">
        <f t="shared" si="5"/>
        <v>782360.12486780365</v>
      </c>
      <c r="O20" s="31">
        <f t="shared" si="5"/>
        <v>786271.92549214256</v>
      </c>
      <c r="P20" s="31">
        <f t="shared" si="5"/>
        <v>790203.28511960316</v>
      </c>
      <c r="Q20" s="31">
        <f t="shared" si="5"/>
        <v>794154.30154520099</v>
      </c>
      <c r="R20" s="31">
        <f t="shared" si="5"/>
        <v>798125.07305292692</v>
      </c>
      <c r="S20" s="31">
        <f t="shared" si="5"/>
        <v>802115.69841819152</v>
      </c>
      <c r="T20" s="31">
        <f t="shared" si="5"/>
        <v>806126.27691028221</v>
      </c>
      <c r="U20" s="31">
        <f t="shared" si="5"/>
        <v>810156.90829483361</v>
      </c>
      <c r="V20" s="31">
        <f t="shared" si="5"/>
        <v>814207.69283630757</v>
      </c>
      <c r="W20" s="31">
        <f t="shared" si="5"/>
        <v>818278.73130048905</v>
      </c>
      <c r="X20" s="31">
        <f>SUM(D20:W20)</f>
        <v>15614686.256257676</v>
      </c>
      <c r="Y20" s="37" t="s">
        <v>60</v>
      </c>
      <c r="Z20" s="20"/>
      <c r="AA20" s="20"/>
      <c r="AB20" s="20"/>
      <c r="AC20" s="20"/>
    </row>
    <row r="21" spans="1:29" ht="75" x14ac:dyDescent="0.25">
      <c r="A21" s="20"/>
      <c r="B21" s="20"/>
      <c r="C21" s="27" t="s">
        <v>77</v>
      </c>
      <c r="D21" s="31">
        <f>D20/(1.07)^2</f>
        <v>650097.5575820643</v>
      </c>
      <c r="E21" s="31">
        <f>E20/(1.07)^3</f>
        <v>610605.64987848082</v>
      </c>
      <c r="F21" s="31">
        <f>F20/(1.07)^4</f>
        <v>573512.78329707775</v>
      </c>
      <c r="G21" s="31">
        <f>G20/(1.07)^5</f>
        <v>538673.22169491858</v>
      </c>
      <c r="H21" s="31">
        <f>H20/(1.07)^6</f>
        <v>505950.08205924596</v>
      </c>
      <c r="I21" s="31">
        <f>I20/(1.07)^7</f>
        <v>475214.7967005067</v>
      </c>
      <c r="J21" s="31">
        <f>J20/(1.07)^8</f>
        <v>446346.60811589641</v>
      </c>
      <c r="K21" s="31">
        <f>K20/(1.07)^9</f>
        <v>419232.09453876241</v>
      </c>
      <c r="L21" s="31">
        <f>L20/(1.07)^10</f>
        <v>393764.72430977214</v>
      </c>
      <c r="M21" s="31">
        <f>M20/(1.07)^11</f>
        <v>369844.43731899152</v>
      </c>
      <c r="N21" s="31">
        <f>N20/(1.07)^12</f>
        <v>347377.25187437981</v>
      </c>
      <c r="O21" s="31">
        <f>O20/(1.07)^13</f>
        <v>326274.89545210433</v>
      </c>
      <c r="P21" s="31">
        <f>P20/(1.07)^14</f>
        <v>306454.45787791105</v>
      </c>
      <c r="Q21" s="31">
        <f>Q20/(1.07)^15</f>
        <v>287838.06557691633</v>
      </c>
      <c r="R21" s="31">
        <f>R20/(1.07)^16</f>
        <v>270352.57561196352</v>
      </c>
      <c r="S21" s="31">
        <f>S20/(1.07)^17</f>
        <v>253929.288308433</v>
      </c>
      <c r="T21" s="31">
        <f>T20/(1.07)^18</f>
        <v>238503.67733642529</v>
      </c>
      <c r="U21" s="31">
        <f>U20/(1.07)^19</f>
        <v>224015.13618982001</v>
      </c>
      <c r="V21" s="31">
        <f>V20/(1.07)^20</f>
        <v>210406.74006613932</v>
      </c>
      <c r="W21" s="31">
        <f>W20/(1.07)^21</f>
        <v>197625.02221165417</v>
      </c>
      <c r="X21" s="31">
        <f>SUM(D21:W21)</f>
        <v>7646019.0660014646</v>
      </c>
      <c r="Y21" s="37" t="s">
        <v>77</v>
      </c>
      <c r="Z21" s="20"/>
      <c r="AA21" s="20"/>
      <c r="AB21" s="20"/>
      <c r="AC21" s="20"/>
    </row>
    <row r="22" spans="1:29" ht="75" x14ac:dyDescent="0.25">
      <c r="A22" s="20"/>
      <c r="B22" s="20"/>
      <c r="C22" s="27" t="s">
        <v>78</v>
      </c>
      <c r="D22" s="31">
        <f>D20/(1.03)^2</f>
        <v>701571.0186404991</v>
      </c>
      <c r="E22" s="31">
        <f>E20/(1.03)^3</f>
        <v>684542.59585796262</v>
      </c>
      <c r="F22" s="31">
        <f>F20/(1.03)^4</f>
        <v>667927.48430801195</v>
      </c>
      <c r="G22" s="31">
        <f>G20/(1.03)^5</f>
        <v>651715.65216461336</v>
      </c>
      <c r="H22" s="31">
        <f>H20/(1.03)^6</f>
        <v>635897.31109265669</v>
      </c>
      <c r="I22" s="31">
        <f>I20/(1.03)^7</f>
        <v>620462.9103379806</v>
      </c>
      <c r="J22" s="31">
        <f>J20/(1.03)^8</f>
        <v>605403.13096084504</v>
      </c>
      <c r="K22" s="31">
        <f>K20/(1.03)^9</f>
        <v>590708.88020936819</v>
      </c>
      <c r="L22" s="31">
        <f>L20/(1.03)^10</f>
        <v>576371.28602952906</v>
      </c>
      <c r="M22" s="31">
        <f>M20/(1.03)^11</f>
        <v>562381.6917084239</v>
      </c>
      <c r="N22" s="31">
        <f>N20/(1.03)^12</f>
        <v>548731.65064753965</v>
      </c>
      <c r="O22" s="31">
        <f>O20/(1.03)^13</f>
        <v>535412.92126289057</v>
      </c>
      <c r="P22" s="31">
        <f>P20/(1.03)^14</f>
        <v>522417.4620089368</v>
      </c>
      <c r="Q22" s="31">
        <f>Q20/(1.03)^15</f>
        <v>509737.42652328289</v>
      </c>
      <c r="R22" s="31">
        <f>R20/(1.03)^16</f>
        <v>497365.15888922266</v>
      </c>
      <c r="S22" s="31">
        <f>S20/(1.03)^17</f>
        <v>485293.1890132706</v>
      </c>
      <c r="T22" s="31">
        <f>T20/(1.03)^18</f>
        <v>473514.22811489011</v>
      </c>
      <c r="U22" s="31">
        <f>U20/(1.03)^19</f>
        <v>462021.16432569374</v>
      </c>
      <c r="V22" s="31">
        <f>V20/(1.03)^20</f>
        <v>450807.05839545833</v>
      </c>
      <c r="W22" s="31">
        <f>W20/(1.03)^21</f>
        <v>439865.13950236473</v>
      </c>
      <c r="X22" s="31">
        <f>SUM(D22:W22)</f>
        <v>11222147.359993441</v>
      </c>
      <c r="Y22" s="37" t="s">
        <v>78</v>
      </c>
      <c r="Z22" s="20"/>
      <c r="AA22" s="20"/>
      <c r="AB22" s="20"/>
      <c r="AC22" s="20"/>
    </row>
    <row r="23" spans="1:29" x14ac:dyDescent="0.25">
      <c r="A23" s="20"/>
      <c r="B23" s="20"/>
      <c r="C23" s="34"/>
      <c r="D23" s="34"/>
      <c r="E23" s="34"/>
      <c r="F23" s="34"/>
      <c r="G23" s="34"/>
      <c r="H23" s="34"/>
      <c r="I23" s="34"/>
      <c r="J23" s="34"/>
      <c r="K23" s="34"/>
      <c r="L23" s="34"/>
      <c r="M23" s="34"/>
      <c r="N23" s="34"/>
      <c r="O23" s="34"/>
      <c r="P23" s="34"/>
      <c r="Q23" s="34"/>
      <c r="R23" s="34"/>
      <c r="S23" s="34"/>
      <c r="T23" s="34"/>
      <c r="U23" s="34"/>
      <c r="V23" s="34"/>
      <c r="W23" s="34"/>
      <c r="X23" s="22"/>
      <c r="Y23" s="21"/>
      <c r="Z23" s="20"/>
      <c r="AA23" s="20"/>
      <c r="AB23" s="20"/>
      <c r="AC23" s="20"/>
    </row>
    <row r="24" spans="1:29"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c r="X24" s="20"/>
      <c r="Y24" s="20"/>
      <c r="Z24" s="20"/>
      <c r="AA24" s="20"/>
      <c r="AB24" s="20"/>
      <c r="AC24" s="20"/>
    </row>
    <row r="25" spans="1:29" ht="45" x14ac:dyDescent="0.25">
      <c r="A25" s="37" t="s">
        <v>0</v>
      </c>
      <c r="B25" s="37" t="s">
        <v>1</v>
      </c>
      <c r="C25" s="37" t="s">
        <v>8</v>
      </c>
      <c r="D25" s="37" t="s">
        <v>52</v>
      </c>
      <c r="E25" s="20"/>
      <c r="F25" s="20"/>
      <c r="G25" s="20"/>
      <c r="H25" s="20"/>
      <c r="I25" s="20"/>
      <c r="J25" s="20"/>
      <c r="K25" s="20"/>
      <c r="L25" s="20"/>
      <c r="M25" s="20"/>
      <c r="N25" s="20"/>
      <c r="O25" s="20"/>
      <c r="P25" s="20"/>
      <c r="Q25" s="20"/>
      <c r="R25" s="20"/>
      <c r="S25" s="20"/>
      <c r="T25" s="20"/>
      <c r="U25" s="20"/>
      <c r="V25" s="20"/>
      <c r="W25" s="20"/>
      <c r="X25" s="20"/>
      <c r="Y25" s="20"/>
      <c r="Z25" s="20"/>
      <c r="AA25" s="20"/>
      <c r="AB25" s="20"/>
      <c r="AC25" s="20"/>
    </row>
    <row r="26" spans="1:29" x14ac:dyDescent="0.25">
      <c r="A26" s="29">
        <v>0</v>
      </c>
      <c r="B26" s="29" t="s">
        <v>10</v>
      </c>
      <c r="C26" s="30">
        <v>0</v>
      </c>
      <c r="D26" s="31">
        <f>C26*1.01</f>
        <v>0</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row>
    <row r="27" spans="1:29" x14ac:dyDescent="0.25">
      <c r="A27" s="28">
        <v>1</v>
      </c>
      <c r="B27" s="28" t="s">
        <v>2</v>
      </c>
      <c r="C27" s="31">
        <v>27600</v>
      </c>
      <c r="D27" s="31">
        <f t="shared" ref="D27:D33" si="6">C27*1.01</f>
        <v>27876</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row>
    <row r="28" spans="1:29" ht="30" x14ac:dyDescent="0.25">
      <c r="A28" s="28">
        <v>2</v>
      </c>
      <c r="B28" s="28" t="s">
        <v>3</v>
      </c>
      <c r="C28" s="31">
        <v>432400</v>
      </c>
      <c r="D28" s="31">
        <f t="shared" si="6"/>
        <v>436724</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row>
    <row r="29" spans="1:29" x14ac:dyDescent="0.25">
      <c r="A29" s="28">
        <v>3</v>
      </c>
      <c r="B29" s="28" t="s">
        <v>4</v>
      </c>
      <c r="C29" s="31">
        <v>966000</v>
      </c>
      <c r="D29" s="31">
        <f t="shared" si="6"/>
        <v>975660</v>
      </c>
      <c r="E29" s="20"/>
      <c r="F29" s="20"/>
      <c r="G29" s="20"/>
      <c r="H29" s="20"/>
      <c r="I29" s="20"/>
      <c r="J29" s="20"/>
      <c r="K29" s="20"/>
      <c r="L29" s="20"/>
      <c r="M29" s="20"/>
      <c r="N29" s="20"/>
      <c r="O29" s="20"/>
      <c r="P29" s="20"/>
      <c r="Q29" s="20"/>
      <c r="R29" s="20"/>
      <c r="S29" s="20"/>
      <c r="T29" s="20"/>
      <c r="U29" s="20"/>
      <c r="V29" s="20"/>
      <c r="W29" s="20"/>
      <c r="X29" s="20"/>
      <c r="Y29" s="20"/>
      <c r="Z29" s="20"/>
      <c r="AA29" s="20"/>
      <c r="AB29" s="20"/>
      <c r="AC29" s="20"/>
    </row>
    <row r="30" spans="1:29" x14ac:dyDescent="0.25">
      <c r="A30" s="28">
        <v>4</v>
      </c>
      <c r="B30" s="28" t="s">
        <v>5</v>
      </c>
      <c r="C30" s="31">
        <v>2477200</v>
      </c>
      <c r="D30" s="31">
        <f t="shared" si="6"/>
        <v>2501972</v>
      </c>
      <c r="E30" s="20"/>
      <c r="F30" s="20"/>
      <c r="G30" s="20"/>
      <c r="H30" s="20"/>
      <c r="I30" s="20"/>
      <c r="J30" s="20"/>
      <c r="K30" s="20"/>
      <c r="L30" s="20"/>
      <c r="M30" s="20"/>
      <c r="N30" s="20"/>
      <c r="O30" s="20"/>
      <c r="P30" s="20"/>
      <c r="Q30" s="20"/>
      <c r="R30" s="20"/>
      <c r="S30" s="20"/>
      <c r="T30" s="20"/>
      <c r="U30" s="20"/>
      <c r="V30" s="20"/>
      <c r="W30" s="20"/>
      <c r="X30" s="20"/>
      <c r="Y30" s="20"/>
      <c r="Z30" s="20"/>
      <c r="AA30" s="20"/>
      <c r="AB30" s="20"/>
      <c r="AC30" s="20"/>
    </row>
    <row r="31" spans="1:29" x14ac:dyDescent="0.25">
      <c r="A31" s="28">
        <v>5</v>
      </c>
      <c r="B31" s="28" t="s">
        <v>6</v>
      </c>
      <c r="C31" s="31">
        <v>5455600</v>
      </c>
      <c r="D31" s="31">
        <f t="shared" si="6"/>
        <v>5510156</v>
      </c>
      <c r="E31" s="20"/>
      <c r="F31" s="20"/>
      <c r="G31" s="20"/>
      <c r="H31" s="20"/>
      <c r="I31" s="20"/>
      <c r="J31" s="20"/>
      <c r="K31" s="20"/>
      <c r="L31" s="20"/>
      <c r="M31" s="20"/>
      <c r="N31" s="20"/>
      <c r="O31" s="20"/>
      <c r="P31" s="20"/>
      <c r="Q31" s="20"/>
      <c r="R31" s="20"/>
      <c r="S31" s="20"/>
      <c r="T31" s="20"/>
      <c r="U31" s="20"/>
      <c r="V31" s="20"/>
      <c r="W31" s="20"/>
      <c r="X31" s="20"/>
      <c r="Y31" s="20"/>
      <c r="Z31" s="20"/>
      <c r="AA31" s="20"/>
      <c r="AB31" s="20"/>
      <c r="AC31" s="20"/>
    </row>
    <row r="32" spans="1:29" ht="30" x14ac:dyDescent="0.25">
      <c r="A32" s="28">
        <v>6</v>
      </c>
      <c r="B32" s="28" t="s">
        <v>7</v>
      </c>
      <c r="C32" s="31">
        <v>9200000</v>
      </c>
      <c r="D32" s="31">
        <f t="shared" si="6"/>
        <v>9292000</v>
      </c>
      <c r="E32" s="20"/>
      <c r="F32" s="20"/>
      <c r="G32" s="20"/>
      <c r="H32" s="20"/>
      <c r="I32" s="20"/>
      <c r="J32" s="20"/>
      <c r="K32" s="20"/>
      <c r="L32" s="20"/>
      <c r="M32" s="20"/>
      <c r="N32" s="20"/>
      <c r="O32" s="20"/>
      <c r="P32" s="20"/>
      <c r="Q32" s="20"/>
      <c r="R32" s="20"/>
      <c r="S32" s="20"/>
      <c r="T32" s="20"/>
      <c r="U32" s="20"/>
      <c r="V32" s="20"/>
      <c r="W32" s="20"/>
      <c r="X32" s="20"/>
      <c r="Y32" s="20"/>
      <c r="Z32" s="20"/>
      <c r="AA32" s="20"/>
      <c r="AB32" s="20"/>
      <c r="AC32" s="20"/>
    </row>
    <row r="33" spans="1:29" ht="30" x14ac:dyDescent="0.25">
      <c r="A33" s="28" t="s">
        <v>56</v>
      </c>
      <c r="B33" s="28" t="s">
        <v>54</v>
      </c>
      <c r="C33" s="31">
        <v>3927</v>
      </c>
      <c r="D33" s="31">
        <f t="shared" si="6"/>
        <v>3966.27</v>
      </c>
      <c r="E33" s="20"/>
      <c r="F33" s="20"/>
      <c r="G33" s="20"/>
      <c r="H33" s="20"/>
      <c r="I33" s="20"/>
      <c r="J33" s="20"/>
      <c r="K33" s="20"/>
      <c r="L33" s="20"/>
      <c r="M33" s="20"/>
      <c r="N33" s="20"/>
      <c r="O33" s="20"/>
      <c r="P33" s="20"/>
      <c r="Q33" s="20"/>
      <c r="R33" s="20"/>
      <c r="S33" s="20"/>
      <c r="T33" s="20"/>
      <c r="U33" s="20"/>
      <c r="V33" s="20"/>
      <c r="W33" s="20"/>
      <c r="X33" s="20"/>
      <c r="Y33" s="20"/>
      <c r="Z33" s="20"/>
      <c r="AA33" s="20"/>
      <c r="AB33" s="20"/>
      <c r="AC33" s="20"/>
    </row>
    <row r="34" spans="1:29" x14ac:dyDescent="0.25">
      <c r="A34" s="23"/>
      <c r="B34" s="23"/>
      <c r="C34" s="34"/>
      <c r="D34" s="34"/>
      <c r="E34" s="20"/>
      <c r="F34" s="20"/>
      <c r="G34" s="20"/>
      <c r="H34" s="20"/>
      <c r="I34" s="20"/>
      <c r="J34" s="20"/>
      <c r="K34" s="20"/>
      <c r="L34" s="20"/>
      <c r="M34" s="20"/>
      <c r="N34" s="20"/>
      <c r="O34" s="20"/>
      <c r="P34" s="20"/>
      <c r="Q34" s="20"/>
      <c r="R34" s="20"/>
      <c r="S34" s="20"/>
      <c r="T34" s="20"/>
      <c r="U34" s="20"/>
      <c r="V34" s="20"/>
      <c r="W34" s="20"/>
      <c r="X34" s="20"/>
      <c r="Y34" s="20"/>
      <c r="Z34" s="20"/>
      <c r="AA34" s="20"/>
      <c r="AB34" s="20"/>
      <c r="AC34" s="20"/>
    </row>
    <row r="35" spans="1:29" x14ac:dyDescent="0.25">
      <c r="A35" s="23"/>
      <c r="B35" s="23"/>
      <c r="C35" s="34"/>
      <c r="D35" s="34"/>
      <c r="E35" s="20"/>
      <c r="F35" s="20"/>
      <c r="G35" s="20"/>
      <c r="H35" s="20"/>
      <c r="I35" s="20"/>
      <c r="J35" s="20"/>
      <c r="K35" s="20"/>
      <c r="L35" s="20"/>
      <c r="M35" s="20"/>
      <c r="N35" s="20"/>
      <c r="O35" s="20"/>
      <c r="P35" s="20"/>
      <c r="Q35" s="20"/>
      <c r="R35" s="20"/>
      <c r="S35" s="20"/>
      <c r="T35" s="20"/>
      <c r="U35" s="20"/>
      <c r="V35" s="20"/>
      <c r="W35" s="20"/>
      <c r="X35" s="20"/>
      <c r="Y35" s="20"/>
      <c r="Z35" s="20"/>
      <c r="AA35" s="20"/>
      <c r="AB35" s="20"/>
      <c r="AC35" s="20"/>
    </row>
    <row r="36" spans="1:29" x14ac:dyDescent="0.25">
      <c r="A36" s="66" t="s">
        <v>64</v>
      </c>
      <c r="B36" s="66"/>
      <c r="C36" s="24"/>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row>
    <row r="37" spans="1:29" x14ac:dyDescent="0.25">
      <c r="A37" s="67" t="s">
        <v>14</v>
      </c>
      <c r="B37" s="68">
        <v>5.0000000000000001E-3</v>
      </c>
      <c r="C37" s="24"/>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row>
    <row r="38" spans="1:29" x14ac:dyDescent="0.25">
      <c r="A38" s="67"/>
      <c r="B38" s="68"/>
      <c r="C38" s="24"/>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row>
    <row r="39" spans="1:29" x14ac:dyDescent="0.25">
      <c r="A39" s="33" t="s">
        <v>16</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row>
    <row r="40" spans="1:29" x14ac:dyDescent="0.25">
      <c r="A40" s="33" t="s">
        <v>76</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row>
    <row r="41" spans="1:29" x14ac:dyDescent="0.25">
      <c r="A41" s="33" t="s">
        <v>75</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row>
    <row r="42" spans="1:29"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29"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row>
    <row r="44" spans="1:29"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row>
    <row r="45" spans="1:29"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row>
    <row r="46" spans="1:29"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row>
    <row r="47" spans="1:29"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row>
    <row r="48" spans="1:29"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row>
    <row r="50" spans="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row>
    <row r="51" spans="1:29"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row>
    <row r="52" spans="1:29"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row>
    <row r="53" spans="1:29"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row>
    <row r="54" spans="1:29"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56" spans="1:29"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row>
    <row r="57" spans="1:29"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row>
    <row r="58" spans="1:29"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row>
    <row r="59" spans="1:29"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row>
    <row r="60" spans="1:29"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row>
    <row r="61" spans="1:29"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row>
    <row r="63" spans="1:29"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row>
    <row r="64" spans="1:29"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row>
    <row r="65" spans="1:29"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row>
    <row r="66" spans="1:29"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1:29"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row>
    <row r="68" spans="1:29"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row>
    <row r="69" spans="1:29"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row>
    <row r="70" spans="1:29"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row>
    <row r="71" spans="1:29"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row>
    <row r="72" spans="1:29"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row>
    <row r="73" spans="1:29"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row>
    <row r="74" spans="1:29"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row>
    <row r="75" spans="1:29"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row>
    <row r="76" spans="1:29"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row>
    <row r="77" spans="1:29"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row>
    <row r="78" spans="1:29"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row>
    <row r="79" spans="1:29"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row>
    <row r="80" spans="1:29"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row>
    <row r="81" spans="1:29"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row>
    <row r="82" spans="1:29"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row>
    <row r="83" spans="1:29"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row>
    <row r="84" spans="1:29"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row>
    <row r="85" spans="1:29"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row>
    <row r="86" spans="1:29"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row>
    <row r="87" spans="1:29"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row>
    <row r="88" spans="1:29"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row>
    <row r="89" spans="1:29"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row>
    <row r="90" spans="1:29"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row>
    <row r="91" spans="1:29"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row>
    <row r="92" spans="1:29"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row>
    <row r="93" spans="1:29"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row>
    <row r="94" spans="1:29"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row>
    <row r="95" spans="1:29"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row>
    <row r="96" spans="1:29"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row>
    <row r="97" spans="1:29"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row>
    <row r="98" spans="1:29"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row>
    <row r="99" spans="1:29"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row>
    <row r="100" spans="1:29"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1:29"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row>
    <row r="102" spans="1:29"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row>
    <row r="103" spans="1:29"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row>
    <row r="104" spans="1:29"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row>
    <row r="105" spans="1:29"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row>
    <row r="106" spans="1:29"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row>
    <row r="107" spans="1:29"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row>
    <row r="108" spans="1:29"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row>
    <row r="109" spans="1:29"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row>
    <row r="110" spans="1:29"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row>
    <row r="111" spans="1:29"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1:29"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row>
    <row r="113" spans="1:29"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row>
    <row r="114" spans="1:29"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row>
    <row r="115" spans="1:29"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row>
    <row r="116" spans="1:29"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row>
    <row r="117" spans="1:29"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row>
    <row r="118" spans="1:29"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row>
    <row r="119" spans="1:29"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row>
    <row r="120" spans="1:29"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row>
    <row r="121" spans="1:29"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row>
    <row r="122" spans="1:29"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row>
    <row r="123" spans="1:29"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row>
    <row r="124" spans="1:29"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row>
    <row r="125" spans="1:29"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row>
    <row r="126" spans="1:29"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row>
    <row r="127" spans="1:29"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row>
    <row r="128" spans="1:29"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row>
    <row r="129" spans="1:29"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row>
    <row r="130" spans="1:29"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row>
    <row r="131" spans="1:29"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row>
    <row r="132" spans="1:29"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row>
    <row r="133" spans="1:29"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row>
    <row r="134" spans="1:29"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row>
    <row r="135" spans="1:29"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row>
    <row r="136" spans="1:29"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row>
    <row r="137" spans="1:29"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row>
    <row r="138" spans="1:29"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1:29"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row>
    <row r="140" spans="1:29"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row>
    <row r="141" spans="1:29"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row>
    <row r="142" spans="1:29"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row>
    <row r="143" spans="1:29"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row>
    <row r="144" spans="1:29"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1:29"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row>
    <row r="146" spans="1:29"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1:29"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row r="148" spans="1:29"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row>
    <row r="149" spans="1:29"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row>
    <row r="150" spans="1:29"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row>
    <row r="151" spans="1:29"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1:29"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row>
    <row r="153" spans="1:29"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row>
    <row r="154" spans="1:29"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row>
    <row r="155" spans="1:29"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row>
    <row r="156" spans="1:29"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1:29"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row>
    <row r="158" spans="1:29"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row>
    <row r="159" spans="1:29"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row>
    <row r="160" spans="1:29"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row>
    <row r="161" spans="1:29"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row>
    <row r="162" spans="1:29"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row>
    <row r="163" spans="1:29"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row>
    <row r="164" spans="1:29"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row>
    <row r="165" spans="1:29"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row>
    <row r="166" spans="1:29"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row>
    <row r="167" spans="1:29"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row>
    <row r="168" spans="1:29"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row>
    <row r="169" spans="1:29"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row>
    <row r="170" spans="1:29"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row>
    <row r="171" spans="1:29"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row>
    <row r="172" spans="1:29"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row>
    <row r="173" spans="1:29"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row>
    <row r="174" spans="1:29"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row>
    <row r="175" spans="1:29"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row>
    <row r="176" spans="1:29"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row>
    <row r="177" spans="1:29"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row>
    <row r="178" spans="1:29"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row>
    <row r="179" spans="1:29"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row>
    <row r="180" spans="1:29"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row>
    <row r="181" spans="1:29"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row>
    <row r="182" spans="1:29"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row>
    <row r="183" spans="1:29"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row>
    <row r="184" spans="1:29"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row>
    <row r="185" spans="1:29"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row>
    <row r="186" spans="1:29"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row>
    <row r="187" spans="1:29"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row>
    <row r="188" spans="1:29"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row>
    <row r="189" spans="1:29"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row>
    <row r="190" spans="1:29"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row>
    <row r="191" spans="1:29"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row>
    <row r="192" spans="1:29"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row>
    <row r="193" spans="1:29"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row>
    <row r="194" spans="1:29"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row>
    <row r="195" spans="1:29"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row>
    <row r="196" spans="1:29"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row>
    <row r="197" spans="1:29"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row>
    <row r="198" spans="1:29"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row>
    <row r="199" spans="1:29"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row>
    <row r="200" spans="1:29"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row>
    <row r="201" spans="1:29"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row>
    <row r="202" spans="1:29"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row>
    <row r="203" spans="1:29"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row>
    <row r="204" spans="1:29"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row>
    <row r="205" spans="1:29"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row>
    <row r="206" spans="1:29"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row>
    <row r="207" spans="1:29"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row>
    <row r="208" spans="1:29"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row>
    <row r="209" spans="1:29"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row>
    <row r="210" spans="1:29"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row>
    <row r="211" spans="1:29"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row>
    <row r="212" spans="1:29"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row>
    <row r="213" spans="1:29"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row>
    <row r="214" spans="1:29"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row>
    <row r="215" spans="1:29"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row>
    <row r="216" spans="1:29"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row>
    <row r="217" spans="1:29"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row>
    <row r="218" spans="1:29"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row>
    <row r="219" spans="1:29"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row>
    <row r="220" spans="1:29"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row>
    <row r="221" spans="1:29"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row>
    <row r="222" spans="1:29"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row>
    <row r="223" spans="1:29"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row>
    <row r="224" spans="1:29"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row>
    <row r="225" spans="1:29"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row>
    <row r="226" spans="1:29"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row>
    <row r="227" spans="1:29"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row>
    <row r="228" spans="1:29"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row>
    <row r="229" spans="1:29"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row>
    <row r="230" spans="1:29"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row>
    <row r="231" spans="1:29"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row>
    <row r="232" spans="1:29"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row>
    <row r="233" spans="1:29"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row>
    <row r="234" spans="1:29"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row>
    <row r="235" spans="1:29"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row>
    <row r="236" spans="1:29"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row>
    <row r="237" spans="1:29"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row>
    <row r="238" spans="1:29"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row>
    <row r="239" spans="1:29"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row>
    <row r="240" spans="1:29"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row>
    <row r="241" spans="1:29"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row>
    <row r="242" spans="1:29"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row>
    <row r="243" spans="1:29"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row>
    <row r="244" spans="1:29"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row>
    <row r="245" spans="1:29"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row>
    <row r="246" spans="1:29"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row>
    <row r="247" spans="1:29"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row>
    <row r="248" spans="1:29"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row>
    <row r="249" spans="1:29"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row>
    <row r="250" spans="1:29"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row>
    <row r="251" spans="1:29"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row>
    <row r="252" spans="1:29"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row>
    <row r="253" spans="1:29"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row>
    <row r="254" spans="1:29"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row>
    <row r="255" spans="1:29"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row>
    <row r="256" spans="1:29"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row>
    <row r="257" spans="1:29"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row>
    <row r="258" spans="1:29"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row>
    <row r="259" spans="1:29"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row>
    <row r="260" spans="1:29"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row>
    <row r="261" spans="1:29"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row>
    <row r="262" spans="1:29"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row>
    <row r="263" spans="1:29"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row>
    <row r="264" spans="1:29"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row>
    <row r="265" spans="1:29"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row>
    <row r="266" spans="1:29"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row>
    <row r="267" spans="1:29"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row>
    <row r="268" spans="1:29"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row>
    <row r="269" spans="1:29"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row>
    <row r="270" spans="1:29"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row>
    <row r="271" spans="1:29"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row>
    <row r="272" spans="1:29"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row>
    <row r="273" spans="1:29"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row>
    <row r="274" spans="1:29"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row>
    <row r="275" spans="1:29"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row>
    <row r="276" spans="1:29"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row>
    <row r="277" spans="1:29"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row>
    <row r="278" spans="1:29"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row>
    <row r="279" spans="1:29"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row>
    <row r="280" spans="1:29"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row>
    <row r="281" spans="1:29"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row>
    <row r="282" spans="1:29"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row>
    <row r="283" spans="1:29"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row>
    <row r="284" spans="1:29"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row>
    <row r="285" spans="1:29"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row>
    <row r="286" spans="1:29"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row>
    <row r="287" spans="1:29"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row>
    <row r="288" spans="1:29"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row>
    <row r="289" spans="1:29"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row>
    <row r="290" spans="1:29"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row>
    <row r="291" spans="1:29"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row>
    <row r="292" spans="1:29"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row>
    <row r="293" spans="1:29"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row>
    <row r="294" spans="1:29"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row>
    <row r="295" spans="1:29"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row>
    <row r="296" spans="1:29"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row>
    <row r="297" spans="1:29"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row>
    <row r="298" spans="1:29"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row>
    <row r="299" spans="1:29"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row>
    <row r="300" spans="1:29"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row>
    <row r="301" spans="1:29"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row>
    <row r="302" spans="1:29"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row>
    <row r="303" spans="1:29"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row>
    <row r="304" spans="1:29"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row>
    <row r="305" spans="1:29"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row>
    <row r="306" spans="1:29"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row>
    <row r="307" spans="1:29"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row>
    <row r="308" spans="1:29"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row>
    <row r="309" spans="1:29"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row>
    <row r="310" spans="1:29"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row>
    <row r="311" spans="1:29"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row>
    <row r="312" spans="1:29"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row>
    <row r="313" spans="1:29"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row>
    <row r="314" spans="1:29"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row>
    <row r="315" spans="1:29"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row>
    <row r="316" spans="1:29"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row>
    <row r="317" spans="1:29"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row>
    <row r="318" spans="1:29"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row>
    <row r="319" spans="1:29"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row>
    <row r="320" spans="1:29"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row>
    <row r="321" spans="1:29"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row>
    <row r="322" spans="1:29"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row>
    <row r="323" spans="1:29"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row>
    <row r="324" spans="1:29"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row>
    <row r="325" spans="1:29"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row>
    <row r="326" spans="1:29"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row>
    <row r="327" spans="1:29"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row>
    <row r="328" spans="1:29"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row>
    <row r="329" spans="1:29"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row>
    <row r="330" spans="1:29"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row>
    <row r="331" spans="1:29"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row>
    <row r="332" spans="1:29"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row>
    <row r="333" spans="1:29"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row>
    <row r="334" spans="1:29"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row>
    <row r="335" spans="1:29"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row>
    <row r="336" spans="1:29"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row>
    <row r="337" spans="1:29"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row>
    <row r="338" spans="1:29"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row>
    <row r="339" spans="1:29"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row>
    <row r="340" spans="1:29"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row>
    <row r="341" spans="1:29"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row>
    <row r="342" spans="1:29"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row>
    <row r="343" spans="1:29"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row>
    <row r="344" spans="1:29"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row>
    <row r="345" spans="1:29"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row>
    <row r="346" spans="1:29"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row>
    <row r="347" spans="1:29"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row>
    <row r="348" spans="1:29"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row>
    <row r="349" spans="1:29"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row>
    <row r="350" spans="1:29"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row>
    <row r="351" spans="1:29"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row>
    <row r="352" spans="1:29"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row>
    <row r="353" spans="1:29"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row>
    <row r="354" spans="1:29"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row>
    <row r="355" spans="1:29"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row>
    <row r="356" spans="1:29"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row>
    <row r="357" spans="1:29"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row>
    <row r="358" spans="1:29"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row>
    <row r="359" spans="1:29"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row>
    <row r="360" spans="1:29"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row>
    <row r="361" spans="1:29"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row>
  </sheetData>
  <mergeCells count="7">
    <mergeCell ref="A37:A38"/>
    <mergeCell ref="B37:B38"/>
    <mergeCell ref="A1:B1"/>
    <mergeCell ref="A5:W5"/>
    <mergeCell ref="A13:W13"/>
    <mergeCell ref="A24:D24"/>
    <mergeCell ref="A36:B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opLeftCell="J1" workbookViewId="0">
      <selection activeCell="A29" sqref="A29"/>
    </sheetView>
  </sheetViews>
  <sheetFormatPr defaultRowHeight="15" x14ac:dyDescent="0.25"/>
  <cols>
    <col min="1" max="1" width="50" customWidth="1"/>
    <col min="2" max="2" width="23.85546875" customWidth="1"/>
    <col min="3" max="3" width="13.85546875" customWidth="1"/>
    <col min="4" max="4" width="14" customWidth="1"/>
    <col min="5" max="5" width="14.85546875" customWidth="1"/>
    <col min="6" max="6" width="15.140625" customWidth="1"/>
    <col min="7" max="7" width="14.7109375" customWidth="1"/>
    <col min="8" max="8" width="14" customWidth="1"/>
    <col min="9" max="9" width="13.85546875" customWidth="1"/>
    <col min="10" max="10" width="14.7109375" customWidth="1"/>
    <col min="11" max="11" width="14.42578125" customWidth="1"/>
    <col min="12" max="12" width="14.28515625" customWidth="1"/>
    <col min="13" max="13" width="15.7109375" customWidth="1"/>
    <col min="14" max="14" width="13.85546875" customWidth="1"/>
    <col min="15" max="15" width="15.140625" customWidth="1"/>
    <col min="16" max="16" width="15.28515625" customWidth="1"/>
    <col min="17" max="17" width="14.85546875" customWidth="1"/>
    <col min="18" max="18" width="14.140625" customWidth="1"/>
    <col min="19" max="19" width="14" customWidth="1"/>
    <col min="20" max="20" width="15.140625" customWidth="1"/>
    <col min="21" max="21" width="16.28515625" customWidth="1"/>
    <col min="22" max="22" width="14.85546875" customWidth="1"/>
    <col min="23" max="23" width="16.28515625" customWidth="1"/>
  </cols>
  <sheetData>
    <row r="1" spans="1:24" x14ac:dyDescent="0.25">
      <c r="C1" s="37">
        <v>2017</v>
      </c>
      <c r="D1" s="37">
        <v>2018</v>
      </c>
      <c r="E1" s="37">
        <v>2019</v>
      </c>
      <c r="F1" s="37">
        <v>2020</v>
      </c>
      <c r="G1" s="37">
        <v>2021</v>
      </c>
      <c r="H1" s="37">
        <v>2022</v>
      </c>
      <c r="I1" s="37">
        <v>2023</v>
      </c>
      <c r="J1" s="37">
        <v>2024</v>
      </c>
      <c r="K1" s="37">
        <v>2025</v>
      </c>
      <c r="L1" s="37">
        <v>2026</v>
      </c>
      <c r="M1" s="37">
        <v>2027</v>
      </c>
      <c r="N1" s="37">
        <v>2028</v>
      </c>
      <c r="O1" s="37">
        <v>2029</v>
      </c>
      <c r="P1" s="37">
        <v>2030</v>
      </c>
      <c r="Q1" s="37">
        <v>2031</v>
      </c>
      <c r="R1" s="37">
        <v>2032</v>
      </c>
      <c r="S1" s="37">
        <v>2033</v>
      </c>
      <c r="T1" s="37">
        <v>2034</v>
      </c>
      <c r="U1" s="37">
        <v>2035</v>
      </c>
      <c r="V1" s="37">
        <v>2036</v>
      </c>
      <c r="W1" t="s">
        <v>92</v>
      </c>
    </row>
    <row r="2" spans="1:24" x14ac:dyDescent="0.25">
      <c r="A2" s="38" t="s">
        <v>85</v>
      </c>
      <c r="C2" s="40"/>
      <c r="D2" s="40"/>
      <c r="E2" s="40"/>
      <c r="F2" s="40"/>
      <c r="G2" s="40"/>
      <c r="H2" s="40"/>
      <c r="I2" s="40"/>
      <c r="J2" s="40"/>
      <c r="K2" s="40"/>
      <c r="L2" s="40"/>
      <c r="M2" s="40"/>
      <c r="N2" s="40"/>
      <c r="O2" s="40"/>
      <c r="P2" s="40"/>
      <c r="Q2" s="40"/>
      <c r="R2" s="40"/>
      <c r="S2" s="40"/>
      <c r="T2" s="40"/>
      <c r="U2" s="40"/>
      <c r="V2" s="40"/>
    </row>
    <row r="3" spans="1:24" x14ac:dyDescent="0.25">
      <c r="A3" t="s">
        <v>80</v>
      </c>
      <c r="B3" s="38" t="s">
        <v>60</v>
      </c>
      <c r="C3" s="39">
        <v>3917351.0193458176</v>
      </c>
      <c r="D3" s="39">
        <v>3936937.7744425465</v>
      </c>
      <c r="E3" s="39">
        <v>3956622.4633147581</v>
      </c>
      <c r="F3" s="39">
        <v>3976405.5756313312</v>
      </c>
      <c r="G3" s="39">
        <v>3996287.6035094867</v>
      </c>
      <c r="H3" s="39">
        <v>4016269.0415270342</v>
      </c>
      <c r="I3" s="39">
        <v>4036350.3867346691</v>
      </c>
      <c r="J3" s="39">
        <v>4056532.1386683425</v>
      </c>
      <c r="K3" s="39">
        <v>4076814.7993616834</v>
      </c>
      <c r="L3" s="39">
        <v>4097198.8733584909</v>
      </c>
      <c r="M3" s="39">
        <v>4117684.8677252824</v>
      </c>
      <c r="N3" s="39">
        <v>4138273.2920639082</v>
      </c>
      <c r="O3" s="39">
        <v>4158964.6585242269</v>
      </c>
      <c r="P3" s="39">
        <v>4179759.4818168469</v>
      </c>
      <c r="Q3" s="39">
        <v>4200658.2792259315</v>
      </c>
      <c r="R3" s="39">
        <v>4221661.5706220604</v>
      </c>
      <c r="S3" s="39">
        <v>4242769.8784751697</v>
      </c>
      <c r="T3" s="39">
        <v>4263983.7278675446</v>
      </c>
      <c r="U3" s="39">
        <v>4285303.6465068823</v>
      </c>
      <c r="V3" s="39">
        <v>4306730.164739415</v>
      </c>
      <c r="W3" s="39">
        <v>82182559.243461415</v>
      </c>
      <c r="X3" s="39" t="s">
        <v>60</v>
      </c>
    </row>
    <row r="4" spans="1:24" x14ac:dyDescent="0.25">
      <c r="A4" t="s">
        <v>84</v>
      </c>
      <c r="B4" t="s">
        <v>60</v>
      </c>
      <c r="C4" s="41">
        <v>744296.69367570546</v>
      </c>
      <c r="D4" s="41">
        <v>748018.17714408389</v>
      </c>
      <c r="E4" s="41">
        <v>751758.26802980411</v>
      </c>
      <c r="F4" s="41">
        <v>755517.05936995288</v>
      </c>
      <c r="G4" s="41">
        <v>759294.6446668026</v>
      </c>
      <c r="H4" s="41">
        <v>763091.11789013667</v>
      </c>
      <c r="I4" s="41">
        <v>766906.57347958721</v>
      </c>
      <c r="J4" s="41">
        <v>770741.10634698509</v>
      </c>
      <c r="K4" s="41">
        <v>774594.81187871983</v>
      </c>
      <c r="L4" s="41">
        <v>778467.78593811346</v>
      </c>
      <c r="M4" s="41">
        <v>782360.12486780365</v>
      </c>
      <c r="N4" s="41">
        <v>786271.92549214256</v>
      </c>
      <c r="O4" s="41">
        <v>790203.28511960316</v>
      </c>
      <c r="P4" s="41">
        <v>794154.30154520099</v>
      </c>
      <c r="Q4" s="41">
        <v>798125.07305292692</v>
      </c>
      <c r="R4" s="41">
        <v>802115.69841819152</v>
      </c>
      <c r="S4" s="41">
        <v>806126.27691028221</v>
      </c>
      <c r="T4" s="41">
        <v>810156.90829483361</v>
      </c>
      <c r="U4" s="41">
        <v>814207.69283630757</v>
      </c>
      <c r="V4" s="41">
        <v>818278.73130048905</v>
      </c>
      <c r="W4" s="41">
        <v>15614686.256257676</v>
      </c>
      <c r="X4" t="s">
        <v>60</v>
      </c>
    </row>
    <row r="5" spans="1:24" x14ac:dyDescent="0.25">
      <c r="A5" s="45" t="s">
        <v>138</v>
      </c>
      <c r="B5" s="45" t="s">
        <v>60</v>
      </c>
      <c r="C5" s="47">
        <f>C3-C4</f>
        <v>3173054.3256701119</v>
      </c>
      <c r="D5" s="47">
        <f>D3-D4</f>
        <v>3188919.5972984629</v>
      </c>
      <c r="E5" s="47">
        <f t="shared" ref="E5:W5" si="0">E3-E4</f>
        <v>3204864.1952849543</v>
      </c>
      <c r="F5" s="47">
        <f t="shared" si="0"/>
        <v>3220888.5162613783</v>
      </c>
      <c r="G5" s="47">
        <f t="shared" si="0"/>
        <v>3236992.958842684</v>
      </c>
      <c r="H5" s="47">
        <f t="shared" si="0"/>
        <v>3253177.9236368975</v>
      </c>
      <c r="I5" s="47">
        <f t="shared" si="0"/>
        <v>3269443.8132550819</v>
      </c>
      <c r="J5" s="47">
        <f t="shared" si="0"/>
        <v>3285791.0323213572</v>
      </c>
      <c r="K5" s="47">
        <f t="shared" si="0"/>
        <v>3302219.9874829636</v>
      </c>
      <c r="L5" s="47">
        <f t="shared" si="0"/>
        <v>3318731.0874203774</v>
      </c>
      <c r="M5" s="47">
        <f t="shared" si="0"/>
        <v>3335324.7428574786</v>
      </c>
      <c r="N5" s="47">
        <f t="shared" si="0"/>
        <v>3352001.3665717654</v>
      </c>
      <c r="O5" s="47">
        <f t="shared" si="0"/>
        <v>3368761.3734046239</v>
      </c>
      <c r="P5" s="47">
        <f t="shared" si="0"/>
        <v>3385605.180271646</v>
      </c>
      <c r="Q5" s="47">
        <f t="shared" si="0"/>
        <v>3402533.2061730046</v>
      </c>
      <c r="R5" s="47">
        <f t="shared" si="0"/>
        <v>3419545.8722038688</v>
      </c>
      <c r="S5" s="47">
        <f t="shared" si="0"/>
        <v>3436643.6015648874</v>
      </c>
      <c r="T5" s="47">
        <f t="shared" si="0"/>
        <v>3453826.8195727109</v>
      </c>
      <c r="U5" s="47">
        <f t="shared" si="0"/>
        <v>3471095.9536705748</v>
      </c>
      <c r="V5" s="47">
        <f t="shared" si="0"/>
        <v>3488451.433438926</v>
      </c>
      <c r="W5" s="47">
        <f t="shared" si="0"/>
        <v>66567872.98720374</v>
      </c>
      <c r="X5" s="45"/>
    </row>
    <row r="8" spans="1:24" x14ac:dyDescent="0.25">
      <c r="A8" s="38" t="s">
        <v>86</v>
      </c>
      <c r="B8" s="38"/>
    </row>
    <row r="9" spans="1:24" x14ac:dyDescent="0.25">
      <c r="A9" t="s">
        <v>82</v>
      </c>
      <c r="B9" t="s">
        <v>60</v>
      </c>
      <c r="C9" s="41">
        <v>3917351.0193458176</v>
      </c>
      <c r="D9" s="41">
        <v>3936937.7744425465</v>
      </c>
      <c r="E9" s="41">
        <v>3956622.4633147581</v>
      </c>
      <c r="F9" s="41">
        <v>3976405.5756313312</v>
      </c>
      <c r="G9" s="41">
        <v>3996287.6035094867</v>
      </c>
      <c r="H9" s="41">
        <v>4016269.0415270342</v>
      </c>
      <c r="I9" s="41">
        <v>4036350.3867346691</v>
      </c>
      <c r="J9" s="41">
        <v>4056532.1386683425</v>
      </c>
      <c r="K9" s="41">
        <v>4076814.7993616834</v>
      </c>
      <c r="L9" s="41">
        <v>4097198.8733584909</v>
      </c>
      <c r="M9" s="41">
        <v>4117684.8677252824</v>
      </c>
      <c r="N9" s="41">
        <v>4138273.2920639082</v>
      </c>
      <c r="O9" s="41">
        <v>4158964.6585242269</v>
      </c>
      <c r="P9" s="41">
        <v>4179759.4818168469</v>
      </c>
      <c r="Q9" s="41">
        <v>4200658.2792259315</v>
      </c>
      <c r="R9" s="41">
        <v>4221661.5706220604</v>
      </c>
      <c r="S9" s="41">
        <v>4242769.8784751697</v>
      </c>
      <c r="T9" s="41">
        <v>4263983.7278675446</v>
      </c>
      <c r="U9" s="41">
        <v>4285303.6465068823</v>
      </c>
      <c r="V9" s="41">
        <v>4306730.164739415</v>
      </c>
      <c r="W9" s="41">
        <v>82182559.243461415</v>
      </c>
      <c r="X9" s="41" t="s">
        <v>60</v>
      </c>
    </row>
    <row r="10" spans="1:24" x14ac:dyDescent="0.25">
      <c r="A10" t="s">
        <v>83</v>
      </c>
      <c r="B10" t="s">
        <v>60</v>
      </c>
      <c r="C10" s="41">
        <v>2585451.6727682399</v>
      </c>
      <c r="D10" s="41">
        <v>2598378.931132081</v>
      </c>
      <c r="E10" s="41">
        <v>2611370.8257877408</v>
      </c>
      <c r="F10" s="41">
        <v>2624427.6799166785</v>
      </c>
      <c r="G10" s="41">
        <v>2637549.8183162613</v>
      </c>
      <c r="H10" s="41">
        <v>2650737.5674078427</v>
      </c>
      <c r="I10" s="41">
        <v>2663991.2552448818</v>
      </c>
      <c r="J10" s="41">
        <v>2677311.2115211063</v>
      </c>
      <c r="K10" s="41">
        <v>2690697.7675787108</v>
      </c>
      <c r="L10" s="41">
        <v>2704151.2564166044</v>
      </c>
      <c r="M10" s="41">
        <v>2717672.0126986867</v>
      </c>
      <c r="N10" s="41">
        <v>2731260.3727621795</v>
      </c>
      <c r="O10" s="41">
        <v>2744916.67462599</v>
      </c>
      <c r="P10" s="41">
        <v>2758641.2579991198</v>
      </c>
      <c r="Q10" s="41">
        <v>2772434.4642891143</v>
      </c>
      <c r="R10" s="41">
        <v>2786296.6366105601</v>
      </c>
      <c r="S10" s="41">
        <v>2800228.1197936116</v>
      </c>
      <c r="T10" s="41">
        <v>2814229.2603925797</v>
      </c>
      <c r="U10" s="41">
        <v>2828300.4066945422</v>
      </c>
      <c r="V10" s="41">
        <v>2842441.9087280142</v>
      </c>
      <c r="W10" s="41">
        <v>54240489.100684538</v>
      </c>
      <c r="X10" t="s">
        <v>60</v>
      </c>
    </row>
    <row r="11" spans="1:24" x14ac:dyDescent="0.25">
      <c r="A11" t="s">
        <v>81</v>
      </c>
      <c r="B11" t="s">
        <v>60</v>
      </c>
      <c r="C11" s="41">
        <f>C9-C10</f>
        <v>1331899.3465775778</v>
      </c>
      <c r="D11" s="41">
        <f t="shared" ref="D11:W11" si="1">D9-D10</f>
        <v>1338558.8433104656</v>
      </c>
      <c r="E11" s="41">
        <f t="shared" si="1"/>
        <v>1345251.6375270174</v>
      </c>
      <c r="F11" s="41">
        <f t="shared" si="1"/>
        <v>1351977.8957146527</v>
      </c>
      <c r="G11" s="41">
        <f t="shared" si="1"/>
        <v>1358737.7851932254</v>
      </c>
      <c r="H11" s="41">
        <f t="shared" si="1"/>
        <v>1365531.4741191915</v>
      </c>
      <c r="I11" s="41">
        <f t="shared" si="1"/>
        <v>1372359.1314897873</v>
      </c>
      <c r="J11" s="41">
        <f t="shared" si="1"/>
        <v>1379220.9271472362</v>
      </c>
      <c r="K11" s="41">
        <f t="shared" si="1"/>
        <v>1386117.0317829726</v>
      </c>
      <c r="L11" s="41">
        <f t="shared" si="1"/>
        <v>1393047.6169418865</v>
      </c>
      <c r="M11" s="41">
        <f t="shared" si="1"/>
        <v>1400012.8550265958</v>
      </c>
      <c r="N11" s="41">
        <f t="shared" si="1"/>
        <v>1407012.9193017287</v>
      </c>
      <c r="O11" s="41">
        <f t="shared" si="1"/>
        <v>1414047.9838982369</v>
      </c>
      <c r="P11" s="41">
        <f t="shared" si="1"/>
        <v>1421118.2238177271</v>
      </c>
      <c r="Q11" s="41">
        <f t="shared" si="1"/>
        <v>1428223.8149368172</v>
      </c>
      <c r="R11" s="41">
        <f t="shared" si="1"/>
        <v>1435364.9340115003</v>
      </c>
      <c r="S11" s="41">
        <f t="shared" si="1"/>
        <v>1442541.7586815581</v>
      </c>
      <c r="T11" s="41">
        <f t="shared" si="1"/>
        <v>1449754.4674749649</v>
      </c>
      <c r="U11" s="41">
        <f t="shared" si="1"/>
        <v>1457003.2398123401</v>
      </c>
      <c r="V11" s="41">
        <f t="shared" si="1"/>
        <v>1464288.2560114008</v>
      </c>
      <c r="W11" s="41">
        <f t="shared" si="1"/>
        <v>27942070.142776877</v>
      </c>
    </row>
    <row r="13" spans="1:24" x14ac:dyDescent="0.25">
      <c r="A13" t="s">
        <v>87</v>
      </c>
      <c r="B13" t="s">
        <v>60</v>
      </c>
      <c r="C13" s="41">
        <v>516300.20083557972</v>
      </c>
      <c r="D13" s="41">
        <v>518881.70183975762</v>
      </c>
      <c r="E13" s="41">
        <v>521476.11034895614</v>
      </c>
      <c r="F13" s="41">
        <v>524083.49090070085</v>
      </c>
      <c r="G13" s="41">
        <v>526703.90835520427</v>
      </c>
      <c r="H13" s="41">
        <v>529337.4278969802</v>
      </c>
      <c r="I13" s="41">
        <v>531984.11503646523</v>
      </c>
      <c r="J13" s="41">
        <v>534644.03561164741</v>
      </c>
      <c r="K13" s="41">
        <v>537317.25578970555</v>
      </c>
      <c r="L13" s="41">
        <v>540003.84206865402</v>
      </c>
      <c r="M13" s="41">
        <v>542703.86127899715</v>
      </c>
      <c r="N13" s="41">
        <v>545417.38058539201</v>
      </c>
      <c r="O13" s="41">
        <v>548144.46748831891</v>
      </c>
      <c r="P13" s="41">
        <v>550885.18982576043</v>
      </c>
      <c r="Q13" s="41">
        <v>553639.61577488913</v>
      </c>
      <c r="R13" s="41">
        <v>556407.81385376351</v>
      </c>
      <c r="S13" s="41">
        <v>559189.85292303225</v>
      </c>
      <c r="T13" s="41">
        <v>561985.80218764732</v>
      </c>
      <c r="U13" s="41">
        <v>564795.73119858548</v>
      </c>
      <c r="V13" s="41">
        <v>567619.70985457825</v>
      </c>
      <c r="W13" s="41">
        <v>10831521.513654616</v>
      </c>
      <c r="X13" t="s">
        <v>60</v>
      </c>
    </row>
    <row r="14" spans="1:24" x14ac:dyDescent="0.25">
      <c r="A14" t="s">
        <v>88</v>
      </c>
      <c r="B14" t="s">
        <v>60</v>
      </c>
      <c r="C14" s="41">
        <v>100851.60149662143</v>
      </c>
      <c r="D14" s="41">
        <v>101355.85950410453</v>
      </c>
      <c r="E14" s="41">
        <v>101862.63880162503</v>
      </c>
      <c r="F14" s="41">
        <v>102371.95199563312</v>
      </c>
      <c r="G14" s="41">
        <v>102883.81175561126</v>
      </c>
      <c r="H14" s="41">
        <v>103398.23081438932</v>
      </c>
      <c r="I14" s="41">
        <v>103915.22196846125</v>
      </c>
      <c r="J14" s="41">
        <v>104434.79807830355</v>
      </c>
      <c r="K14" s="41">
        <v>104956.97206869505</v>
      </c>
      <c r="L14" s="41">
        <v>105481.75692903853</v>
      </c>
      <c r="M14" s="41">
        <v>106009.16571368367</v>
      </c>
      <c r="N14" s="41">
        <v>106539.2115422521</v>
      </c>
      <c r="O14" s="41">
        <v>107071.90759996332</v>
      </c>
      <c r="P14" s="41">
        <v>107607.26713796312</v>
      </c>
      <c r="Q14" s="41">
        <v>108145.30347365292</v>
      </c>
      <c r="R14" s="41">
        <v>108686.02999102118</v>
      </c>
      <c r="S14" s="41">
        <v>109229.46014097627</v>
      </c>
      <c r="T14" s="41">
        <v>109775.60744168112</v>
      </c>
      <c r="U14" s="41">
        <v>110324.48547888952</v>
      </c>
      <c r="V14" s="41">
        <v>110876.10790628393</v>
      </c>
      <c r="W14" s="41">
        <v>2115777.3898388501</v>
      </c>
      <c r="X14" t="s">
        <v>60</v>
      </c>
    </row>
    <row r="15" spans="1:24" x14ac:dyDescent="0.25">
      <c r="A15" t="s">
        <v>89</v>
      </c>
      <c r="B15" t="s">
        <v>60</v>
      </c>
      <c r="C15" s="41">
        <v>30099.591806123535</v>
      </c>
      <c r="D15" s="41">
        <v>30250.089765154156</v>
      </c>
      <c r="E15" s="41">
        <v>30401.340213979915</v>
      </c>
      <c r="F15" s="41">
        <v>30553.346915049809</v>
      </c>
      <c r="G15" s="41">
        <v>30706.113649625055</v>
      </c>
      <c r="H15" s="41">
        <v>30859.644217873181</v>
      </c>
      <c r="I15" s="41">
        <v>31013.942438962542</v>
      </c>
      <c r="J15" s="41">
        <v>31169.012151157352</v>
      </c>
      <c r="K15" s="41">
        <v>31324.857211913128</v>
      </c>
      <c r="L15" s="41">
        <v>31481.481497972691</v>
      </c>
      <c r="M15" s="41">
        <v>31638.888905462547</v>
      </c>
      <c r="N15" s="41">
        <v>31797.083349989858</v>
      </c>
      <c r="O15" s="41">
        <v>31956.068766739794</v>
      </c>
      <c r="P15" s="41">
        <v>32115.849110573494</v>
      </c>
      <c r="Q15" s="41">
        <v>32276.428356126355</v>
      </c>
      <c r="R15" s="41">
        <v>32437.810497906983</v>
      </c>
      <c r="S15" s="41">
        <v>32599.999550396511</v>
      </c>
      <c r="T15" s="41">
        <v>32762.999548148491</v>
      </c>
      <c r="U15" s="41">
        <v>32926.814545889232</v>
      </c>
      <c r="V15" s="41">
        <v>33091.448618618662</v>
      </c>
      <c r="W15" s="41">
        <v>631462.81111766316</v>
      </c>
    </row>
    <row r="16" spans="1:24" x14ac:dyDescent="0.25">
      <c r="A16" t="s">
        <v>81</v>
      </c>
      <c r="B16" t="s">
        <v>60</v>
      </c>
      <c r="C16" s="41">
        <f>C13-(C14+C15)</f>
        <v>385349.00753283477</v>
      </c>
      <c r="D16" s="41">
        <f t="shared" ref="D16:W16" si="2">D13-(D14+D15)</f>
        <v>387275.75257049897</v>
      </c>
      <c r="E16" s="41">
        <f t="shared" si="2"/>
        <v>389212.13133335119</v>
      </c>
      <c r="F16" s="41">
        <f t="shared" si="2"/>
        <v>391158.19199001789</v>
      </c>
      <c r="G16" s="41">
        <f t="shared" si="2"/>
        <v>393113.98294996796</v>
      </c>
      <c r="H16" s="41">
        <f t="shared" si="2"/>
        <v>395079.55286471767</v>
      </c>
      <c r="I16" s="41">
        <f t="shared" si="2"/>
        <v>397054.95062904141</v>
      </c>
      <c r="J16" s="41">
        <f t="shared" si="2"/>
        <v>399040.22538218653</v>
      </c>
      <c r="K16" s="41">
        <f t="shared" si="2"/>
        <v>401035.42650909739</v>
      </c>
      <c r="L16" s="41">
        <f t="shared" si="2"/>
        <v>403040.60364164284</v>
      </c>
      <c r="M16" s="41">
        <f t="shared" si="2"/>
        <v>405055.80665985093</v>
      </c>
      <c r="N16" s="41">
        <f t="shared" si="2"/>
        <v>407081.08569315006</v>
      </c>
      <c r="O16" s="41">
        <f t="shared" si="2"/>
        <v>409116.49112161581</v>
      </c>
      <c r="P16" s="41">
        <f t="shared" si="2"/>
        <v>411162.07357722381</v>
      </c>
      <c r="Q16" s="41">
        <f t="shared" si="2"/>
        <v>413217.88394510985</v>
      </c>
      <c r="R16" s="41">
        <f t="shared" si="2"/>
        <v>415283.97336483537</v>
      </c>
      <c r="S16" s="41">
        <f t="shared" si="2"/>
        <v>417360.39323165943</v>
      </c>
      <c r="T16" s="41">
        <f t="shared" si="2"/>
        <v>419447.19519781775</v>
      </c>
      <c r="U16" s="41">
        <f t="shared" si="2"/>
        <v>421544.43117380672</v>
      </c>
      <c r="V16" s="41">
        <f t="shared" si="2"/>
        <v>423652.15332967567</v>
      </c>
      <c r="W16" s="41">
        <f t="shared" si="2"/>
        <v>8084281.3126981026</v>
      </c>
    </row>
    <row r="18" spans="1:24" x14ac:dyDescent="0.25">
      <c r="A18" t="s">
        <v>90</v>
      </c>
      <c r="B18" t="s">
        <v>60</v>
      </c>
      <c r="C18" s="41">
        <v>533071.35374165175</v>
      </c>
      <c r="D18" s="41">
        <v>535736.71051035996</v>
      </c>
      <c r="E18" s="41">
        <v>538415.39406291174</v>
      </c>
      <c r="F18" s="41">
        <v>541107.47103322623</v>
      </c>
      <c r="G18" s="41">
        <v>543813.00838839205</v>
      </c>
      <c r="H18" s="41">
        <v>546532.07343033399</v>
      </c>
      <c r="I18" s="41">
        <v>549264.73379748559</v>
      </c>
      <c r="J18" s="41">
        <v>552011.05746647296</v>
      </c>
      <c r="K18" s="41">
        <v>554771.11275380536</v>
      </c>
      <c r="L18" s="41">
        <v>557544.96831757436</v>
      </c>
      <c r="M18" s="41">
        <v>560332.69315916207</v>
      </c>
      <c r="N18" s="41">
        <v>563134.35662495776</v>
      </c>
      <c r="O18" s="41">
        <v>565950.02840808255</v>
      </c>
      <c r="P18" s="41">
        <v>568779.77855012275</v>
      </c>
      <c r="Q18" s="41">
        <v>571623.67744287325</v>
      </c>
      <c r="R18" s="41">
        <v>574481.7958300875</v>
      </c>
      <c r="S18" s="41">
        <v>577354.20480923774</v>
      </c>
      <c r="T18" s="41">
        <v>580240.97583328409</v>
      </c>
      <c r="U18" s="41">
        <v>583142.18071245041</v>
      </c>
      <c r="V18" s="41">
        <v>586057.89161601244</v>
      </c>
      <c r="W18" s="41">
        <v>11183365.466488484</v>
      </c>
      <c r="X18" t="s">
        <v>60</v>
      </c>
    </row>
    <row r="19" spans="1:24" x14ac:dyDescent="0.25">
      <c r="A19" t="s">
        <v>91</v>
      </c>
      <c r="B19" t="s">
        <v>60</v>
      </c>
      <c r="C19" s="41">
        <v>399803.51530623884</v>
      </c>
      <c r="D19" s="41">
        <v>401802.53288277006</v>
      </c>
      <c r="E19" s="41">
        <v>403811.54554718378</v>
      </c>
      <c r="F19" s="41">
        <v>405830.60327491956</v>
      </c>
      <c r="G19" s="41">
        <v>407859.75629129412</v>
      </c>
      <c r="H19" s="41">
        <v>409899.05507275055</v>
      </c>
      <c r="I19" s="41">
        <v>411948.55034811422</v>
      </c>
      <c r="J19" s="41">
        <v>414008.29309985472</v>
      </c>
      <c r="K19" s="41">
        <v>416078.33456535405</v>
      </c>
      <c r="L19" s="41">
        <v>418158.72623818083</v>
      </c>
      <c r="M19" s="41">
        <v>420249.51986937149</v>
      </c>
      <c r="N19" s="41">
        <v>422350.76746871835</v>
      </c>
      <c r="O19" s="41">
        <v>424462.52130606183</v>
      </c>
      <c r="P19" s="41">
        <v>426584.83391259209</v>
      </c>
      <c r="Q19" s="41">
        <v>428717.75808215496</v>
      </c>
      <c r="R19" s="41">
        <v>430861.34687256569</v>
      </c>
      <c r="S19" s="41">
        <v>433015.65360692842</v>
      </c>
      <c r="T19" s="41">
        <v>435180.73187496304</v>
      </c>
      <c r="U19" s="41">
        <v>437356.63553433772</v>
      </c>
      <c r="V19" s="41">
        <v>439543.41871200938</v>
      </c>
      <c r="W19" s="41">
        <v>8387524.0998663642</v>
      </c>
      <c r="X19" t="s">
        <v>60</v>
      </c>
    </row>
    <row r="20" spans="1:24" x14ac:dyDescent="0.25">
      <c r="A20" t="s">
        <v>81</v>
      </c>
      <c r="C20" s="41">
        <f>C18-C19</f>
        <v>133267.83843541291</v>
      </c>
      <c r="D20" s="41">
        <f t="shared" ref="D20:W20" si="3">D18-D19</f>
        <v>133934.1776275899</v>
      </c>
      <c r="E20" s="41">
        <f t="shared" si="3"/>
        <v>134603.84851572796</v>
      </c>
      <c r="F20" s="41">
        <f t="shared" si="3"/>
        <v>135276.86775830667</v>
      </c>
      <c r="G20" s="41">
        <f t="shared" si="3"/>
        <v>135953.25209709792</v>
      </c>
      <c r="H20" s="41">
        <f t="shared" si="3"/>
        <v>136633.01835758344</v>
      </c>
      <c r="I20" s="41">
        <f t="shared" si="3"/>
        <v>137316.18344937137</v>
      </c>
      <c r="J20" s="41">
        <f t="shared" si="3"/>
        <v>138002.76436661824</v>
      </c>
      <c r="K20" s="41">
        <f t="shared" si="3"/>
        <v>138692.77818845131</v>
      </c>
      <c r="L20" s="41">
        <f t="shared" si="3"/>
        <v>139386.24207939353</v>
      </c>
      <c r="M20" s="41">
        <f t="shared" si="3"/>
        <v>140083.17328979057</v>
      </c>
      <c r="N20" s="41">
        <f t="shared" si="3"/>
        <v>140783.58915623941</v>
      </c>
      <c r="O20" s="41">
        <f t="shared" si="3"/>
        <v>141487.50710202073</v>
      </c>
      <c r="P20" s="41">
        <f t="shared" si="3"/>
        <v>142194.94463753066</v>
      </c>
      <c r="Q20" s="41">
        <f t="shared" si="3"/>
        <v>142905.91936071828</v>
      </c>
      <c r="R20" s="41">
        <f t="shared" si="3"/>
        <v>143620.44895752182</v>
      </c>
      <c r="S20" s="41">
        <f t="shared" si="3"/>
        <v>144338.55120230932</v>
      </c>
      <c r="T20" s="41">
        <f t="shared" si="3"/>
        <v>145060.24395832105</v>
      </c>
      <c r="U20" s="41">
        <f t="shared" si="3"/>
        <v>145785.54517811269</v>
      </c>
      <c r="V20" s="41">
        <f t="shared" si="3"/>
        <v>146514.47290400305</v>
      </c>
      <c r="W20" s="41">
        <f t="shared" si="3"/>
        <v>2795841.3666221201</v>
      </c>
    </row>
    <row r="22" spans="1:24" x14ac:dyDescent="0.25">
      <c r="A22" s="45" t="s">
        <v>93</v>
      </c>
      <c r="B22" s="45"/>
      <c r="C22" s="46">
        <f>C11+C16+C20</f>
        <v>1850516.1925458254</v>
      </c>
      <c r="D22" s="46">
        <f t="shared" ref="D22:W22" si="4">D11+D16+D20</f>
        <v>1859768.7735085543</v>
      </c>
      <c r="E22" s="46">
        <f t="shared" si="4"/>
        <v>1869067.6173760965</v>
      </c>
      <c r="F22" s="46">
        <f t="shared" si="4"/>
        <v>1878412.9554629773</v>
      </c>
      <c r="G22" s="46">
        <f t="shared" si="4"/>
        <v>1887805.0202402913</v>
      </c>
      <c r="H22" s="46">
        <f t="shared" si="4"/>
        <v>1897244.0453414926</v>
      </c>
      <c r="I22" s="46">
        <f t="shared" si="4"/>
        <v>1906730.2655682</v>
      </c>
      <c r="J22" s="46">
        <f t="shared" si="4"/>
        <v>1916263.916896041</v>
      </c>
      <c r="K22" s="46">
        <f t="shared" si="4"/>
        <v>1925845.2364805215</v>
      </c>
      <c r="L22" s="46">
        <f t="shared" si="4"/>
        <v>1935474.4626629227</v>
      </c>
      <c r="M22" s="46">
        <f t="shared" si="4"/>
        <v>1945151.8349762373</v>
      </c>
      <c r="N22" s="46">
        <f t="shared" si="4"/>
        <v>1954877.5941511183</v>
      </c>
      <c r="O22" s="46">
        <f t="shared" si="4"/>
        <v>1964651.9821218734</v>
      </c>
      <c r="P22" s="46">
        <f t="shared" si="4"/>
        <v>1974475.2420324816</v>
      </c>
      <c r="Q22" s="46">
        <f t="shared" si="4"/>
        <v>1984347.6182426452</v>
      </c>
      <c r="R22" s="46">
        <f t="shared" si="4"/>
        <v>1994269.3563338574</v>
      </c>
      <c r="S22" s="46">
        <f t="shared" si="4"/>
        <v>2004240.7031155268</v>
      </c>
      <c r="T22" s="46">
        <f t="shared" si="4"/>
        <v>2014261.9066311037</v>
      </c>
      <c r="U22" s="46">
        <f t="shared" si="4"/>
        <v>2024333.2161642597</v>
      </c>
      <c r="V22" s="46">
        <f t="shared" si="4"/>
        <v>2034454.8822450794</v>
      </c>
      <c r="W22" s="46">
        <f t="shared" si="4"/>
        <v>38822192.8220971</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A2" workbookViewId="0">
      <selection activeCell="E8" sqref="E8"/>
    </sheetView>
  </sheetViews>
  <sheetFormatPr defaultRowHeight="15" x14ac:dyDescent="0.25"/>
  <cols>
    <col min="1" max="1" width="39" customWidth="1"/>
    <col min="2" max="2" width="15" customWidth="1"/>
    <col min="3" max="3" width="13.140625" customWidth="1"/>
    <col min="4" max="5" width="12.42578125" customWidth="1"/>
    <col min="6" max="6" width="12.85546875" customWidth="1"/>
    <col min="7" max="7" width="13.7109375" customWidth="1"/>
    <col min="8" max="8" width="13" customWidth="1"/>
    <col min="9" max="9" width="12.7109375" customWidth="1"/>
    <col min="10" max="10" width="13.140625" customWidth="1"/>
    <col min="11" max="11" width="13.5703125" customWidth="1"/>
    <col min="12" max="12" width="13.7109375" customWidth="1"/>
    <col min="13" max="13" width="15.140625" customWidth="1"/>
    <col min="14" max="14" width="13.7109375" customWidth="1"/>
    <col min="15" max="15" width="12.85546875" customWidth="1"/>
    <col min="16" max="16" width="13.85546875" customWidth="1"/>
    <col min="17" max="17" width="13" customWidth="1"/>
    <col min="18" max="18" width="13.28515625" customWidth="1"/>
    <col min="19" max="19" width="14.85546875" customWidth="1"/>
    <col min="20" max="20" width="13.140625" customWidth="1"/>
    <col min="21" max="21" width="13.5703125" customWidth="1"/>
    <col min="22" max="22" width="13.140625" customWidth="1"/>
    <col min="23" max="23" width="14.140625" customWidth="1"/>
  </cols>
  <sheetData>
    <row r="1" spans="1:24" x14ac:dyDescent="0.25">
      <c r="A1" s="43" t="s">
        <v>94</v>
      </c>
      <c r="B1" s="43">
        <v>1</v>
      </c>
      <c r="C1" s="43">
        <v>0.93459999999999999</v>
      </c>
      <c r="D1" s="43">
        <v>0.87339999999999995</v>
      </c>
      <c r="E1" s="43">
        <v>0.81630000000000003</v>
      </c>
      <c r="F1" s="43">
        <v>0.76290000000000002</v>
      </c>
      <c r="G1" s="43">
        <v>0.71299999999999997</v>
      </c>
      <c r="H1" s="43">
        <v>0.6663</v>
      </c>
      <c r="I1" s="43">
        <v>0.62270000000000003</v>
      </c>
      <c r="J1" s="43">
        <v>0.58199999999999996</v>
      </c>
      <c r="K1" s="43">
        <v>0.54390000000000005</v>
      </c>
      <c r="L1" s="43">
        <v>0.50829999999999997</v>
      </c>
      <c r="M1" s="43">
        <v>0.47510000000000002</v>
      </c>
      <c r="N1" s="43">
        <v>0.44400000000000001</v>
      </c>
      <c r="O1" s="43">
        <v>0.41499999999999998</v>
      </c>
      <c r="P1" s="43">
        <v>0.38779999999999998</v>
      </c>
      <c r="Q1" s="43">
        <v>0.3624</v>
      </c>
      <c r="R1" s="43">
        <v>0.3387</v>
      </c>
      <c r="S1" s="43">
        <v>0.31659999999999999</v>
      </c>
      <c r="T1" s="43">
        <v>0.2959</v>
      </c>
      <c r="U1" s="43">
        <v>0.27650000000000002</v>
      </c>
      <c r="V1" s="43">
        <v>0.25840000000000002</v>
      </c>
    </row>
    <row r="2" spans="1:24" x14ac:dyDescent="0.25">
      <c r="B2" t="s">
        <v>95</v>
      </c>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c r="T2" t="s">
        <v>113</v>
      </c>
      <c r="U2" t="s">
        <v>114</v>
      </c>
      <c r="V2" t="s">
        <v>136</v>
      </c>
    </row>
    <row r="3" spans="1:24" x14ac:dyDescent="0.25">
      <c r="A3" s="38" t="s">
        <v>115</v>
      </c>
    </row>
    <row r="4" spans="1:24" x14ac:dyDescent="0.25">
      <c r="A4" t="s">
        <v>173</v>
      </c>
      <c r="B4" s="41"/>
      <c r="C4" s="41"/>
      <c r="D4" s="41"/>
      <c r="E4" s="41"/>
      <c r="F4" s="41"/>
      <c r="G4" s="41"/>
      <c r="H4" s="41"/>
      <c r="I4" s="41"/>
      <c r="J4" s="41"/>
      <c r="K4" s="41"/>
      <c r="L4" s="41"/>
      <c r="M4" s="41"/>
      <c r="N4" s="41"/>
      <c r="O4" s="41"/>
      <c r="P4" s="41"/>
      <c r="Q4" s="41"/>
      <c r="R4" s="41"/>
      <c r="S4" s="41"/>
      <c r="T4" s="41"/>
      <c r="U4" s="41"/>
      <c r="V4" s="41"/>
    </row>
    <row r="5" spans="1:24" x14ac:dyDescent="0.25">
      <c r="B5" s="41"/>
      <c r="C5" s="41"/>
      <c r="D5" s="41"/>
      <c r="E5" s="41"/>
      <c r="F5" s="41"/>
      <c r="G5" s="41"/>
      <c r="H5" s="41"/>
      <c r="I5" s="41"/>
      <c r="J5" s="41"/>
      <c r="K5" s="41"/>
      <c r="L5" s="41"/>
      <c r="M5" s="41"/>
      <c r="N5" s="41"/>
      <c r="O5" s="41"/>
      <c r="P5" s="41"/>
      <c r="Q5" s="41"/>
      <c r="R5" s="41"/>
      <c r="S5" s="41"/>
      <c r="T5" s="41"/>
      <c r="U5" s="41"/>
      <c r="V5" s="41"/>
    </row>
    <row r="6" spans="1:24" x14ac:dyDescent="0.25">
      <c r="B6" s="41"/>
      <c r="C6" s="41"/>
      <c r="D6" s="41"/>
      <c r="E6" s="41"/>
      <c r="F6" s="41"/>
      <c r="G6" s="41"/>
      <c r="H6" s="41"/>
      <c r="I6" s="41"/>
      <c r="J6" s="41"/>
      <c r="K6" s="41"/>
      <c r="L6" s="41"/>
      <c r="M6" s="41"/>
      <c r="N6" s="41"/>
      <c r="O6" s="41"/>
      <c r="P6" s="41"/>
      <c r="Q6" s="41"/>
      <c r="R6" s="41"/>
      <c r="S6" s="41"/>
      <c r="T6" s="41"/>
      <c r="U6" s="41"/>
      <c r="V6" s="41"/>
    </row>
    <row r="7" spans="1:24" x14ac:dyDescent="0.25">
      <c r="B7" s="41"/>
      <c r="C7" s="41"/>
      <c r="D7" s="41"/>
      <c r="E7" s="41"/>
      <c r="F7" s="41"/>
      <c r="G7" s="41"/>
      <c r="H7" s="41"/>
      <c r="I7" s="41"/>
      <c r="J7" s="41"/>
      <c r="K7" s="41"/>
      <c r="L7" s="41"/>
      <c r="M7" s="41"/>
      <c r="N7" s="41"/>
      <c r="O7" s="41"/>
      <c r="P7" s="41"/>
      <c r="Q7" s="41"/>
      <c r="R7" s="41"/>
      <c r="S7" s="41"/>
      <c r="T7" s="41"/>
      <c r="U7" s="41"/>
      <c r="V7" s="41"/>
      <c r="W7" s="41"/>
    </row>
    <row r="8" spans="1:24" x14ac:dyDescent="0.25">
      <c r="B8" s="41"/>
      <c r="C8" s="41"/>
      <c r="D8" s="41"/>
      <c r="E8" s="41"/>
      <c r="F8" s="41"/>
      <c r="G8" s="41"/>
      <c r="H8" s="41"/>
      <c r="I8" s="41"/>
      <c r="J8" s="41"/>
      <c r="K8" s="41"/>
      <c r="L8" s="41"/>
      <c r="M8" s="41"/>
      <c r="N8" s="41"/>
      <c r="O8" s="41"/>
      <c r="P8" s="41"/>
      <c r="Q8" s="41"/>
      <c r="R8" s="41"/>
      <c r="S8" s="41"/>
      <c r="T8" s="41"/>
      <c r="U8" s="41"/>
      <c r="V8" s="41"/>
    </row>
    <row r="9" spans="1:24" x14ac:dyDescent="0.25">
      <c r="A9" s="45" t="s">
        <v>119</v>
      </c>
      <c r="B9" s="46">
        <v>0</v>
      </c>
      <c r="C9" s="46">
        <f>C4+C5+C6+C7+C8</f>
        <v>0</v>
      </c>
      <c r="D9" s="46">
        <f t="shared" ref="D9:M9" si="0">D4+D5+D6+D7+D8</f>
        <v>0</v>
      </c>
      <c r="E9" s="46">
        <f t="shared" si="0"/>
        <v>0</v>
      </c>
      <c r="F9" s="46">
        <f t="shared" si="0"/>
        <v>0</v>
      </c>
      <c r="G9" s="46">
        <f t="shared" si="0"/>
        <v>0</v>
      </c>
      <c r="H9" s="46">
        <f t="shared" si="0"/>
        <v>0</v>
      </c>
      <c r="I9" s="46">
        <f t="shared" si="0"/>
        <v>0</v>
      </c>
      <c r="J9" s="46">
        <f t="shared" si="0"/>
        <v>0</v>
      </c>
      <c r="K9" s="46">
        <f t="shared" si="0"/>
        <v>0</v>
      </c>
      <c r="L9" s="46">
        <f t="shared" si="0"/>
        <v>0</v>
      </c>
      <c r="M9" s="46">
        <f t="shared" si="0"/>
        <v>0</v>
      </c>
      <c r="N9" s="46">
        <f t="shared" ref="N9:V9" si="1">N4+N5+N6+N7+N8</f>
        <v>0</v>
      </c>
      <c r="O9" s="46">
        <f t="shared" si="1"/>
        <v>0</v>
      </c>
      <c r="P9" s="46">
        <f t="shared" si="1"/>
        <v>0</v>
      </c>
      <c r="Q9" s="46">
        <f t="shared" si="1"/>
        <v>0</v>
      </c>
      <c r="R9" s="46">
        <f t="shared" si="1"/>
        <v>0</v>
      </c>
      <c r="S9" s="46">
        <f t="shared" si="1"/>
        <v>0</v>
      </c>
      <c r="T9" s="46">
        <f t="shared" si="1"/>
        <v>0</v>
      </c>
      <c r="U9" s="46">
        <f t="shared" si="1"/>
        <v>0</v>
      </c>
      <c r="V9" s="46">
        <f t="shared" si="1"/>
        <v>0</v>
      </c>
    </row>
    <row r="10" spans="1:24" ht="75" x14ac:dyDescent="0.25">
      <c r="A10" t="s">
        <v>120</v>
      </c>
      <c r="B10" s="41">
        <v>0</v>
      </c>
      <c r="C10" s="41">
        <f>C9*C1</f>
        <v>0</v>
      </c>
      <c r="D10" s="41">
        <f>D9*D1</f>
        <v>0</v>
      </c>
      <c r="E10" s="41">
        <f t="shared" ref="E10:V10" si="2">E9*E1</f>
        <v>0</v>
      </c>
      <c r="F10" s="41">
        <f t="shared" si="2"/>
        <v>0</v>
      </c>
      <c r="G10" s="41">
        <f t="shared" si="2"/>
        <v>0</v>
      </c>
      <c r="H10" s="41">
        <f t="shared" si="2"/>
        <v>0</v>
      </c>
      <c r="I10" s="41">
        <f t="shared" si="2"/>
        <v>0</v>
      </c>
      <c r="J10" s="41">
        <f t="shared" si="2"/>
        <v>0</v>
      </c>
      <c r="K10" s="41">
        <f t="shared" si="2"/>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0</v>
      </c>
      <c r="V10" s="41">
        <f t="shared" si="2"/>
        <v>0</v>
      </c>
      <c r="W10" s="48">
        <f>SUM(C10:V10)</f>
        <v>0</v>
      </c>
      <c r="X10" s="49" t="s">
        <v>139</v>
      </c>
    </row>
    <row r="11" spans="1:24" x14ac:dyDescent="0.25">
      <c r="B11" s="41"/>
      <c r="C11" s="41"/>
      <c r="D11" s="41"/>
      <c r="E11" s="41"/>
      <c r="F11" s="41"/>
      <c r="G11" s="41"/>
      <c r="H11" s="41"/>
      <c r="I11" s="41"/>
      <c r="J11" s="41"/>
      <c r="K11" s="41"/>
      <c r="L11" s="41"/>
      <c r="M11" s="41"/>
      <c r="N11" s="41"/>
      <c r="O11" s="41"/>
      <c r="P11" s="41"/>
      <c r="Q11" s="41"/>
      <c r="R11" s="41"/>
      <c r="S11" s="41"/>
      <c r="T11" s="41"/>
      <c r="U11" s="41"/>
      <c r="V11" s="41"/>
    </row>
    <row r="12" spans="1:24" x14ac:dyDescent="0.25">
      <c r="A12" s="38" t="s">
        <v>121</v>
      </c>
      <c r="B12" s="41"/>
      <c r="C12" s="41"/>
      <c r="D12" s="41"/>
      <c r="E12" s="41"/>
      <c r="F12" s="41"/>
      <c r="G12" s="41"/>
      <c r="H12" s="41"/>
      <c r="I12" s="41"/>
      <c r="J12" s="41"/>
      <c r="K12" s="41"/>
      <c r="L12" s="41"/>
      <c r="M12" s="41"/>
      <c r="N12" s="41"/>
      <c r="O12" s="41"/>
      <c r="P12" s="41"/>
      <c r="Q12" s="41"/>
      <c r="R12" s="41"/>
      <c r="S12" s="41"/>
      <c r="T12" s="41"/>
      <c r="U12" s="41"/>
      <c r="V12" s="41"/>
    </row>
    <row r="13" spans="1:24" x14ac:dyDescent="0.25">
      <c r="A13" t="s">
        <v>122</v>
      </c>
      <c r="B13" s="41"/>
      <c r="C13" s="41"/>
      <c r="D13" s="41"/>
      <c r="E13" s="41"/>
      <c r="F13" s="41"/>
      <c r="G13" s="41"/>
      <c r="H13" s="41"/>
      <c r="I13" s="41"/>
      <c r="J13" s="41"/>
      <c r="K13" s="41"/>
      <c r="L13" s="41"/>
      <c r="M13" s="41"/>
      <c r="N13" s="41"/>
      <c r="O13" s="41"/>
      <c r="P13" s="41"/>
      <c r="Q13" s="41"/>
      <c r="R13" s="41"/>
      <c r="S13" s="41"/>
      <c r="T13" s="41"/>
      <c r="U13" s="41"/>
      <c r="V13" s="41"/>
    </row>
    <row r="14" spans="1:24" x14ac:dyDescent="0.25">
      <c r="A14" t="s">
        <v>123</v>
      </c>
      <c r="B14" s="41"/>
      <c r="C14" s="41"/>
      <c r="D14" s="41"/>
      <c r="E14" s="41"/>
      <c r="F14" s="41"/>
      <c r="G14" s="41"/>
      <c r="H14" s="41"/>
      <c r="I14" s="41"/>
      <c r="J14" s="41"/>
      <c r="K14" s="41"/>
      <c r="L14" s="41"/>
      <c r="M14" s="41"/>
      <c r="N14" s="41"/>
      <c r="O14" s="41"/>
      <c r="P14" s="41"/>
      <c r="Q14" s="41"/>
      <c r="R14" s="41"/>
      <c r="S14" s="41"/>
      <c r="T14" s="41"/>
      <c r="U14" s="41"/>
      <c r="V14" s="41"/>
    </row>
    <row r="15" spans="1:24" x14ac:dyDescent="0.25">
      <c r="A15" t="s">
        <v>124</v>
      </c>
      <c r="B15" s="41"/>
      <c r="C15" s="41"/>
      <c r="D15" s="41"/>
      <c r="E15" s="41"/>
      <c r="F15" s="41"/>
      <c r="G15" s="41"/>
      <c r="H15" s="41"/>
      <c r="I15" s="41"/>
      <c r="J15" s="41"/>
      <c r="K15" s="41"/>
      <c r="L15" s="41"/>
      <c r="M15" s="41"/>
      <c r="N15" s="41"/>
      <c r="O15" s="41"/>
      <c r="P15" s="41"/>
      <c r="Q15" s="41"/>
      <c r="R15" s="41"/>
      <c r="S15" s="41"/>
      <c r="T15" s="41"/>
      <c r="U15" s="41"/>
      <c r="V15" s="41"/>
    </row>
    <row r="16" spans="1:24" x14ac:dyDescent="0.25">
      <c r="A16" t="s">
        <v>125</v>
      </c>
      <c r="B16" s="41"/>
      <c r="C16" s="41"/>
      <c r="D16" s="41"/>
      <c r="E16" s="41"/>
      <c r="F16" s="41"/>
      <c r="G16" s="41"/>
      <c r="H16" s="41"/>
      <c r="I16" s="41"/>
      <c r="J16" s="41"/>
      <c r="K16" s="41"/>
      <c r="L16" s="41"/>
      <c r="M16" s="41"/>
      <c r="N16" s="41"/>
      <c r="O16" s="41"/>
      <c r="P16" s="41"/>
      <c r="Q16" s="41"/>
      <c r="R16" s="41"/>
      <c r="S16" s="41"/>
      <c r="T16" s="41"/>
      <c r="U16" s="41"/>
      <c r="V16" s="41"/>
    </row>
    <row r="17" spans="1:24" x14ac:dyDescent="0.25">
      <c r="A17" t="s">
        <v>126</v>
      </c>
      <c r="B17" s="41"/>
      <c r="C17" s="41"/>
      <c r="D17" s="41"/>
      <c r="E17" s="41"/>
      <c r="F17" s="41"/>
      <c r="G17" s="41"/>
      <c r="H17" s="41"/>
      <c r="I17" s="41"/>
      <c r="J17" s="41"/>
      <c r="K17" s="41"/>
      <c r="L17" s="41"/>
      <c r="M17" s="41"/>
      <c r="N17" s="41"/>
      <c r="O17" s="41"/>
      <c r="P17" s="41"/>
      <c r="Q17" s="41"/>
      <c r="R17" s="41"/>
      <c r="S17" s="41"/>
      <c r="T17" s="41"/>
      <c r="U17" s="41"/>
      <c r="V17" s="41"/>
    </row>
    <row r="18" spans="1:24" x14ac:dyDescent="0.25">
      <c r="A18" t="s">
        <v>127</v>
      </c>
      <c r="B18" s="41"/>
      <c r="C18" s="41"/>
      <c r="D18" s="41"/>
      <c r="E18" s="41">
        <v>232320</v>
      </c>
      <c r="F18" s="41"/>
      <c r="G18" s="41"/>
      <c r="H18" s="41"/>
      <c r="I18" s="41"/>
      <c r="J18" s="41"/>
      <c r="K18" s="41"/>
      <c r="L18" s="41"/>
      <c r="M18" s="41"/>
      <c r="N18" s="41"/>
      <c r="O18" s="41"/>
      <c r="Q18" s="41"/>
      <c r="R18" s="41"/>
      <c r="S18" s="41"/>
      <c r="T18" s="41"/>
      <c r="U18" s="41"/>
      <c r="V18" s="41"/>
    </row>
    <row r="19" spans="1:24" x14ac:dyDescent="0.25">
      <c r="A19" t="s">
        <v>128</v>
      </c>
      <c r="B19" s="41"/>
      <c r="C19" s="41"/>
      <c r="D19" s="41"/>
      <c r="E19" s="41">
        <v>10000</v>
      </c>
      <c r="F19" s="41"/>
      <c r="G19" s="41"/>
      <c r="H19" s="41"/>
      <c r="I19" s="41"/>
      <c r="J19" s="41"/>
      <c r="K19" s="41"/>
      <c r="L19" s="41"/>
      <c r="M19" s="41"/>
      <c r="N19" s="41"/>
      <c r="O19" s="41"/>
      <c r="Q19" s="41"/>
      <c r="R19" s="41"/>
      <c r="S19" s="41"/>
      <c r="T19" s="41"/>
      <c r="U19" s="41"/>
      <c r="V19" s="41"/>
    </row>
    <row r="20" spans="1:24" x14ac:dyDescent="0.25">
      <c r="A20" t="s">
        <v>129</v>
      </c>
      <c r="B20" s="41">
        <v>20400</v>
      </c>
      <c r="C20" s="41">
        <v>20400</v>
      </c>
      <c r="D20" s="41">
        <v>20400</v>
      </c>
      <c r="E20" s="41">
        <v>20400</v>
      </c>
      <c r="F20" s="41">
        <v>20400</v>
      </c>
      <c r="G20" s="41">
        <v>20400</v>
      </c>
      <c r="H20" s="41">
        <v>20400</v>
      </c>
      <c r="I20" s="41">
        <v>20400</v>
      </c>
      <c r="J20" s="41">
        <v>20400</v>
      </c>
      <c r="K20" s="41">
        <v>20400</v>
      </c>
      <c r="L20" s="41">
        <v>20400</v>
      </c>
      <c r="M20" s="41">
        <v>20400</v>
      </c>
      <c r="N20" s="41">
        <v>20400</v>
      </c>
      <c r="O20" s="41">
        <v>20400</v>
      </c>
      <c r="P20" s="41">
        <v>20400</v>
      </c>
      <c r="Q20" s="41">
        <v>20400</v>
      </c>
      <c r="R20" s="41">
        <v>20400</v>
      </c>
      <c r="S20" s="41">
        <v>20400</v>
      </c>
      <c r="T20" s="41">
        <v>20400</v>
      </c>
      <c r="U20" s="41">
        <v>20400</v>
      </c>
      <c r="V20" s="41">
        <v>20400</v>
      </c>
    </row>
    <row r="21" spans="1:24" x14ac:dyDescent="0.25">
      <c r="B21" s="41"/>
      <c r="C21" s="41"/>
      <c r="D21" s="41"/>
      <c r="E21" s="41"/>
      <c r="F21" s="41"/>
      <c r="G21" s="41"/>
      <c r="H21" s="41"/>
      <c r="I21" s="41"/>
      <c r="J21" s="41"/>
      <c r="K21" s="41"/>
      <c r="L21" s="41"/>
      <c r="M21" s="41"/>
      <c r="N21" s="41"/>
      <c r="O21" s="41"/>
      <c r="P21" s="41"/>
      <c r="Q21" s="41"/>
      <c r="R21" s="41"/>
      <c r="S21" s="41"/>
      <c r="T21" s="41"/>
      <c r="U21" s="41"/>
      <c r="V21" s="41"/>
    </row>
    <row r="22" spans="1:24" x14ac:dyDescent="0.25">
      <c r="A22" s="45" t="s">
        <v>130</v>
      </c>
      <c r="B22" s="46">
        <f>B18+B19+B20</f>
        <v>20400</v>
      </c>
      <c r="C22" s="46">
        <f t="shared" ref="C22:V22" si="3">C18+C19+C20</f>
        <v>20400</v>
      </c>
      <c r="D22" s="46">
        <f t="shared" si="3"/>
        <v>20400</v>
      </c>
      <c r="E22" s="46">
        <f t="shared" si="3"/>
        <v>262720</v>
      </c>
      <c r="F22" s="46">
        <f t="shared" si="3"/>
        <v>20400</v>
      </c>
      <c r="G22" s="46">
        <f t="shared" si="3"/>
        <v>20400</v>
      </c>
      <c r="H22" s="46">
        <f t="shared" si="3"/>
        <v>20400</v>
      </c>
      <c r="I22" s="46">
        <f t="shared" si="3"/>
        <v>20400</v>
      </c>
      <c r="J22" s="46">
        <f t="shared" si="3"/>
        <v>20400</v>
      </c>
      <c r="K22" s="46">
        <f t="shared" si="3"/>
        <v>20400</v>
      </c>
      <c r="L22" s="46">
        <f t="shared" si="3"/>
        <v>20400</v>
      </c>
      <c r="M22" s="46">
        <f t="shared" si="3"/>
        <v>20400</v>
      </c>
      <c r="N22" s="46">
        <f t="shared" si="3"/>
        <v>20400</v>
      </c>
      <c r="O22" s="46">
        <f t="shared" si="3"/>
        <v>20400</v>
      </c>
      <c r="P22" s="46">
        <f t="shared" si="3"/>
        <v>20400</v>
      </c>
      <c r="Q22" s="46">
        <f t="shared" si="3"/>
        <v>20400</v>
      </c>
      <c r="R22" s="46">
        <f t="shared" si="3"/>
        <v>20400</v>
      </c>
      <c r="S22" s="46">
        <f t="shared" si="3"/>
        <v>20400</v>
      </c>
      <c r="T22" s="46">
        <f t="shared" si="3"/>
        <v>20400</v>
      </c>
      <c r="U22" s="46">
        <f t="shared" si="3"/>
        <v>20400</v>
      </c>
      <c r="V22" s="46">
        <f t="shared" si="3"/>
        <v>20400</v>
      </c>
    </row>
    <row r="23" spans="1:24" ht="60" x14ac:dyDescent="0.25">
      <c r="A23" t="s">
        <v>131</v>
      </c>
      <c r="B23" s="41">
        <f t="shared" ref="B23:V23" si="4">B22*B1</f>
        <v>20400</v>
      </c>
      <c r="C23" s="41">
        <f t="shared" si="4"/>
        <v>19065.84</v>
      </c>
      <c r="D23" s="41">
        <f t="shared" si="4"/>
        <v>17817.36</v>
      </c>
      <c r="E23" s="41">
        <f t="shared" si="4"/>
        <v>214458.33600000001</v>
      </c>
      <c r="F23" s="41">
        <f t="shared" si="4"/>
        <v>15563.16</v>
      </c>
      <c r="G23" s="41">
        <f t="shared" si="4"/>
        <v>14545.199999999999</v>
      </c>
      <c r="H23" s="41">
        <f t="shared" si="4"/>
        <v>13592.52</v>
      </c>
      <c r="I23" s="41">
        <f t="shared" si="4"/>
        <v>12703.08</v>
      </c>
      <c r="J23" s="41">
        <f t="shared" si="4"/>
        <v>11872.8</v>
      </c>
      <c r="K23" s="41">
        <f t="shared" si="4"/>
        <v>11095.560000000001</v>
      </c>
      <c r="L23" s="41">
        <f t="shared" si="4"/>
        <v>10369.32</v>
      </c>
      <c r="M23" s="41">
        <f t="shared" si="4"/>
        <v>9692.0400000000009</v>
      </c>
      <c r="N23" s="41">
        <f t="shared" si="4"/>
        <v>9057.6</v>
      </c>
      <c r="O23" s="41">
        <f t="shared" si="4"/>
        <v>8466</v>
      </c>
      <c r="P23" s="41">
        <f t="shared" si="4"/>
        <v>7911.12</v>
      </c>
      <c r="Q23" s="41">
        <f t="shared" si="4"/>
        <v>7392.96</v>
      </c>
      <c r="R23" s="41">
        <f t="shared" si="4"/>
        <v>6909.4800000000005</v>
      </c>
      <c r="S23" s="41">
        <f t="shared" si="4"/>
        <v>6458.6399999999994</v>
      </c>
      <c r="T23" s="41">
        <f t="shared" si="4"/>
        <v>6036.36</v>
      </c>
      <c r="U23" s="41">
        <f t="shared" si="4"/>
        <v>5640.6</v>
      </c>
      <c r="V23" s="41">
        <f t="shared" si="4"/>
        <v>5271.3600000000006</v>
      </c>
      <c r="W23" s="48">
        <f>SUM(B23:V23)</f>
        <v>434319.33599999995</v>
      </c>
      <c r="X23" s="49" t="s">
        <v>140</v>
      </c>
    </row>
    <row r="24" spans="1:24" x14ac:dyDescent="0.25">
      <c r="B24" s="41"/>
      <c r="C24" s="41"/>
      <c r="D24" s="41"/>
      <c r="E24" s="41"/>
      <c r="F24" s="41"/>
      <c r="G24" s="41"/>
      <c r="H24" s="41"/>
      <c r="I24" s="41"/>
      <c r="J24" s="41"/>
      <c r="K24" s="41"/>
      <c r="L24" s="41"/>
      <c r="M24" s="41"/>
      <c r="N24" s="41"/>
      <c r="O24" s="41"/>
      <c r="P24" s="41"/>
      <c r="Q24" s="41"/>
      <c r="R24" s="41"/>
      <c r="S24" s="41"/>
      <c r="T24" s="41"/>
      <c r="U24" s="41"/>
      <c r="V24" s="41"/>
    </row>
    <row r="25" spans="1:24" ht="75" x14ac:dyDescent="0.25">
      <c r="A25" s="38" t="s">
        <v>132</v>
      </c>
      <c r="B25" s="41"/>
      <c r="C25" s="41"/>
      <c r="D25" s="41"/>
      <c r="E25" s="41"/>
      <c r="F25" s="41"/>
      <c r="G25" s="41"/>
      <c r="H25" s="41"/>
      <c r="I25" s="41"/>
      <c r="J25" s="41"/>
      <c r="K25" s="41"/>
      <c r="L25" s="41"/>
      <c r="M25" s="41"/>
      <c r="N25" s="41"/>
      <c r="O25" s="41"/>
      <c r="P25" s="41"/>
      <c r="Q25" s="41"/>
      <c r="R25" s="41"/>
      <c r="S25" s="41"/>
      <c r="T25" s="41"/>
      <c r="U25" s="42"/>
      <c r="V25" s="41"/>
      <c r="W25" s="48">
        <f>W10-W23</f>
        <v>-434319.33599999995</v>
      </c>
      <c r="X25" s="50" t="s">
        <v>141</v>
      </c>
    </row>
    <row r="26" spans="1:24" x14ac:dyDescent="0.25">
      <c r="B26" s="41"/>
      <c r="C26" s="41"/>
      <c r="D26" s="41"/>
      <c r="E26" s="41"/>
      <c r="F26" s="41"/>
      <c r="G26" s="41"/>
      <c r="H26" s="41"/>
      <c r="I26" s="41"/>
      <c r="J26" s="41"/>
      <c r="K26" s="41"/>
      <c r="L26" s="41"/>
      <c r="M26" s="41"/>
      <c r="N26" s="41"/>
      <c r="O26" s="41"/>
      <c r="P26" s="41"/>
      <c r="Q26" s="41"/>
      <c r="R26" s="41"/>
      <c r="S26" s="41"/>
      <c r="T26" s="41"/>
      <c r="U26" s="41"/>
      <c r="V26" s="41"/>
    </row>
    <row r="27" spans="1:24" x14ac:dyDescent="0.25">
      <c r="A27" s="43" t="s">
        <v>134</v>
      </c>
      <c r="B27" s="44">
        <v>1</v>
      </c>
      <c r="C27" s="44">
        <v>0.97089999999999999</v>
      </c>
      <c r="D27" s="44">
        <v>0.94259999999999999</v>
      </c>
      <c r="E27" s="44">
        <v>0.91510000000000002</v>
      </c>
      <c r="F27" s="44">
        <v>0.88849999999999996</v>
      </c>
      <c r="G27" s="44">
        <v>0.86260000000000003</v>
      </c>
      <c r="H27" s="44">
        <v>0.83750000000000002</v>
      </c>
      <c r="I27" s="44">
        <v>0.81310000000000004</v>
      </c>
      <c r="J27" s="44">
        <v>0.78939999999999999</v>
      </c>
      <c r="K27" s="44">
        <v>0.76639999999999997</v>
      </c>
      <c r="L27" s="44">
        <v>0.74409999999999998</v>
      </c>
      <c r="M27" s="44">
        <v>0.72240000000000004</v>
      </c>
      <c r="N27" s="44">
        <v>0.70140000000000002</v>
      </c>
      <c r="O27" s="44">
        <v>0.68100000000000005</v>
      </c>
      <c r="P27" s="44">
        <v>0.66110000000000002</v>
      </c>
      <c r="Q27" s="44">
        <v>0.64190000000000003</v>
      </c>
      <c r="R27" s="44">
        <v>0.62319999999999998</v>
      </c>
      <c r="S27" s="44">
        <v>0.60499999999999998</v>
      </c>
      <c r="T27" s="44">
        <v>0.58740000000000003</v>
      </c>
      <c r="U27" s="44">
        <v>0.57030000000000003</v>
      </c>
      <c r="V27" s="44">
        <v>0.55369999999999997</v>
      </c>
    </row>
    <row r="28" spans="1:24" x14ac:dyDescent="0.25">
      <c r="A28" t="s">
        <v>120</v>
      </c>
      <c r="B28" s="41"/>
      <c r="C28" s="41"/>
      <c r="D28" s="41"/>
      <c r="E28" s="41"/>
      <c r="F28" s="41"/>
      <c r="G28" s="41"/>
      <c r="H28" s="41"/>
      <c r="I28" s="41"/>
      <c r="J28" s="41"/>
      <c r="K28" s="41"/>
      <c r="L28" s="41"/>
      <c r="M28" s="41"/>
      <c r="N28" s="41"/>
      <c r="O28" s="41"/>
      <c r="P28" s="41"/>
      <c r="Q28" s="41"/>
      <c r="R28" s="41"/>
      <c r="S28" s="41"/>
      <c r="T28" s="41"/>
      <c r="U28" s="41"/>
      <c r="V28" s="41"/>
    </row>
    <row r="29" spans="1:24" x14ac:dyDescent="0.25">
      <c r="A29" t="s">
        <v>131</v>
      </c>
      <c r="B29" s="41"/>
      <c r="C29" s="41"/>
      <c r="D29" s="41"/>
      <c r="E29" s="41"/>
      <c r="F29" s="41"/>
      <c r="G29" s="41"/>
      <c r="H29" s="41"/>
      <c r="I29" s="41"/>
      <c r="J29" s="41"/>
      <c r="K29" s="41"/>
      <c r="L29" s="41"/>
      <c r="M29" s="41"/>
      <c r="N29" s="41"/>
      <c r="O29" s="41"/>
      <c r="P29" s="41"/>
      <c r="Q29" s="41"/>
      <c r="R29" s="41"/>
      <c r="S29" s="41"/>
      <c r="T29" s="41"/>
      <c r="U29" s="41"/>
      <c r="V29" s="41"/>
    </row>
    <row r="30" spans="1:24" x14ac:dyDescent="0.25">
      <c r="A30" s="38" t="s">
        <v>137</v>
      </c>
      <c r="B30" s="41"/>
      <c r="C30" s="41"/>
      <c r="D30" s="41"/>
      <c r="E30" s="41"/>
      <c r="F30" s="41"/>
      <c r="G30" s="41"/>
      <c r="H30" s="41"/>
      <c r="I30" s="41"/>
      <c r="J30" s="41"/>
      <c r="K30" s="41"/>
      <c r="L30" s="41"/>
      <c r="M30" s="41"/>
      <c r="N30" s="41"/>
      <c r="O30" s="41"/>
      <c r="P30" s="41"/>
      <c r="Q30" s="41"/>
      <c r="R30" s="41"/>
      <c r="S30" s="41"/>
      <c r="T30" s="41"/>
      <c r="U30" s="41" t="s">
        <v>133</v>
      </c>
      <c r="V30" s="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7" workbookViewId="0">
      <selection activeCell="C20" sqref="C20:Y20"/>
    </sheetView>
  </sheetViews>
  <sheetFormatPr defaultColWidth="8.85546875" defaultRowHeight="15" x14ac:dyDescent="0.25"/>
  <cols>
    <col min="1" max="25" width="15.7109375" style="20" customWidth="1"/>
    <col min="26" max="16384" width="8.85546875" style="20"/>
  </cols>
  <sheetData>
    <row r="1" spans="1:23" x14ac:dyDescent="0.25">
      <c r="A1" s="66" t="s">
        <v>70</v>
      </c>
      <c r="B1" s="66"/>
    </row>
    <row r="2" spans="1:23" ht="30" x14ac:dyDescent="0.25">
      <c r="A2" s="26" t="s">
        <v>58</v>
      </c>
      <c r="B2" s="25" t="s">
        <v>67</v>
      </c>
    </row>
    <row r="3" spans="1:23" ht="45" x14ac:dyDescent="0.25">
      <c r="A3" s="26" t="s">
        <v>59</v>
      </c>
      <c r="B3" s="25">
        <v>0.66</v>
      </c>
    </row>
    <row r="5" spans="1:23" ht="14.45" customHeight="1" x14ac:dyDescent="0.25">
      <c r="A5" s="66" t="s">
        <v>62</v>
      </c>
      <c r="B5" s="66"/>
      <c r="C5" s="66"/>
      <c r="D5" s="66"/>
      <c r="E5" s="66"/>
      <c r="F5" s="66"/>
      <c r="G5" s="66"/>
      <c r="H5" s="66"/>
      <c r="I5" s="66"/>
      <c r="J5" s="66"/>
      <c r="K5" s="66"/>
      <c r="L5" s="66"/>
      <c r="M5" s="66"/>
      <c r="N5" s="66"/>
      <c r="O5" s="66"/>
      <c r="P5" s="66"/>
      <c r="Q5" s="66"/>
      <c r="R5" s="66"/>
      <c r="S5" s="66"/>
      <c r="T5" s="66"/>
      <c r="U5" s="66"/>
      <c r="V5" s="66"/>
      <c r="W5" s="66"/>
    </row>
    <row r="6" spans="1:23" ht="30" x14ac:dyDescent="0.25">
      <c r="A6" s="26" t="s">
        <v>9</v>
      </c>
      <c r="B6" s="26" t="s">
        <v>1</v>
      </c>
      <c r="C6" s="27" t="s">
        <v>51</v>
      </c>
      <c r="D6" s="26">
        <v>2017</v>
      </c>
      <c r="E6" s="26">
        <v>2018</v>
      </c>
      <c r="F6" s="26">
        <v>2019</v>
      </c>
      <c r="G6" s="26">
        <v>2020</v>
      </c>
      <c r="H6" s="26">
        <v>2021</v>
      </c>
      <c r="I6" s="26">
        <v>2022</v>
      </c>
      <c r="J6" s="26">
        <v>2023</v>
      </c>
      <c r="K6" s="26">
        <v>2024</v>
      </c>
      <c r="L6" s="26">
        <v>2025</v>
      </c>
      <c r="M6" s="26">
        <v>2026</v>
      </c>
      <c r="N6" s="26">
        <v>2027</v>
      </c>
      <c r="O6" s="26">
        <v>2028</v>
      </c>
      <c r="P6" s="26">
        <v>2029</v>
      </c>
      <c r="Q6" s="26">
        <v>2030</v>
      </c>
      <c r="R6" s="26">
        <v>2031</v>
      </c>
      <c r="S6" s="26">
        <v>2032</v>
      </c>
      <c r="T6" s="26">
        <v>2033</v>
      </c>
      <c r="U6" s="26">
        <v>2034</v>
      </c>
      <c r="V6" s="26">
        <v>2035</v>
      </c>
      <c r="W6" s="26">
        <v>2036</v>
      </c>
    </row>
    <row r="7" spans="1:23" x14ac:dyDescent="0.25">
      <c r="A7" s="28">
        <v>1</v>
      </c>
      <c r="B7" s="28" t="s">
        <v>13</v>
      </c>
      <c r="C7" s="25">
        <v>0</v>
      </c>
      <c r="D7" s="35">
        <f>$C7*(1+$B$37)^2*$B$3</f>
        <v>0</v>
      </c>
      <c r="E7" s="35">
        <f>$C7*(1+$B$37)^3*$B$3</f>
        <v>0</v>
      </c>
      <c r="F7" s="35">
        <f>$C7*(1+$B$37)^4*$B$3</f>
        <v>0</v>
      </c>
      <c r="G7" s="35">
        <f>$C7*(1+$B$37)^5*$B$3</f>
        <v>0</v>
      </c>
      <c r="H7" s="35">
        <f>$C7*(1+$B$37)^6*$B$3</f>
        <v>0</v>
      </c>
      <c r="I7" s="35">
        <f>$C7*(1+$B$37)^7*$B$3</f>
        <v>0</v>
      </c>
      <c r="J7" s="35">
        <f>$C7*(1+$B$37)^8*$B$3</f>
        <v>0</v>
      </c>
      <c r="K7" s="35">
        <f>$C7*(1+$B$37)^9*$B$3</f>
        <v>0</v>
      </c>
      <c r="L7" s="35">
        <f>$C7*(1+$B$37)^10*$B$3</f>
        <v>0</v>
      </c>
      <c r="M7" s="35">
        <f>$C7*(1+$B$37)^11*$B$3</f>
        <v>0</v>
      </c>
      <c r="N7" s="35">
        <f>$C7*(1+$B$37)^12*$B$3</f>
        <v>0</v>
      </c>
      <c r="O7" s="35">
        <f>$C7*(1+$B$37)^13*$B$3</f>
        <v>0</v>
      </c>
      <c r="P7" s="35">
        <f>$C7*(1+$B$37)^14*$B$3</f>
        <v>0</v>
      </c>
      <c r="Q7" s="35">
        <f>$C7*(1+$B$37)^15*$B$3</f>
        <v>0</v>
      </c>
      <c r="R7" s="35">
        <f>$C7*(1+$B$37)^16*$B$3</f>
        <v>0</v>
      </c>
      <c r="S7" s="35">
        <f>$C7*(1+$B$37)^17*$B$3</f>
        <v>0</v>
      </c>
      <c r="T7" s="35">
        <f>$C7*(1+$B$37)^18*$B$3</f>
        <v>0</v>
      </c>
      <c r="U7" s="35">
        <f>$C7*(1+$B$37)^19*$B$3</f>
        <v>0</v>
      </c>
      <c r="V7" s="35">
        <f>$C7*(1+$B$37)^20*$B$3</f>
        <v>0</v>
      </c>
      <c r="W7" s="35">
        <f>$C7*(1+$B$37)^21*$B$3</f>
        <v>0</v>
      </c>
    </row>
    <row r="8" spans="1:23" x14ac:dyDescent="0.25">
      <c r="A8" s="28">
        <v>2</v>
      </c>
      <c r="B8" s="28" t="s">
        <v>12</v>
      </c>
      <c r="C8" s="25">
        <v>2.1</v>
      </c>
      <c r="D8" s="35">
        <f>$C8*(1+$B$37)^2*$B$3</f>
        <v>1.3998946499999996</v>
      </c>
      <c r="E8" s="35">
        <f>$C8*(1+$B$37)^3*$B$3</f>
        <v>1.4068941232499996</v>
      </c>
      <c r="F8" s="35">
        <f>$C8*(1+$B$37)^4*$B$3</f>
        <v>1.4139285938662494</v>
      </c>
      <c r="G8" s="35">
        <f>$C8*(1+$B$37)^5*$B$3</f>
        <v>1.4209982368355802</v>
      </c>
      <c r="H8" s="35">
        <f>$C8*(1+$B$37)^6*$B$3</f>
        <v>1.4281032280197579</v>
      </c>
      <c r="I8" s="35">
        <f>$C8*(1+$B$37)^7*$B$3</f>
        <v>1.4352437441598564</v>
      </c>
      <c r="J8" s="35">
        <f>$C8*(1+$B$37)^8*$B$3</f>
        <v>1.4424199628806558</v>
      </c>
      <c r="K8" s="35">
        <f>$C8*(1+$B$37)^9*$B$3</f>
        <v>1.449632062695059</v>
      </c>
      <c r="L8" s="35">
        <f>$C8*(1+$B$37)^10*$B$3</f>
        <v>1.456880223008534</v>
      </c>
      <c r="M8" s="35">
        <f>$C8*(1+$B$37)^11*$B$3</f>
        <v>1.4641646241235764</v>
      </c>
      <c r="N8" s="35">
        <f>$C8*(1+$B$37)^12*$B$3</f>
        <v>1.4714854472441938</v>
      </c>
      <c r="O8" s="35">
        <f>$C8*(1+$B$37)^13*$B$3</f>
        <v>1.4788428744804147</v>
      </c>
      <c r="P8" s="35">
        <f>$C8*(1+$B$37)^14*$B$3</f>
        <v>1.4862370888528167</v>
      </c>
      <c r="Q8" s="35">
        <f>$C8*(1+$B$37)^15*$B$3</f>
        <v>1.4936682742970802</v>
      </c>
      <c r="R8" s="35">
        <f>$C8*(1+$B$37)^16*$B$3</f>
        <v>1.5011366156685653</v>
      </c>
      <c r="S8" s="35">
        <f>$C8*(1+$B$37)^17*$B$3</f>
        <v>1.5086422987469084</v>
      </c>
      <c r="T8" s="35">
        <f>$C8*(1+$B$37)^18*$B$3</f>
        <v>1.5161855102406423</v>
      </c>
      <c r="U8" s="35">
        <f>$C8*(1+$B$37)^19*$B$3</f>
        <v>1.5237664377918454</v>
      </c>
      <c r="V8" s="35">
        <f>$C8*(1+$B$37)^20*$B$3</f>
        <v>1.5313852699808044</v>
      </c>
      <c r="W8" s="35">
        <f>$C8*(1+$B$37)^21*$B$3</f>
        <v>1.5390421963307079</v>
      </c>
    </row>
    <row r="9" spans="1:23" ht="30" x14ac:dyDescent="0.25">
      <c r="A9" s="28">
        <v>3</v>
      </c>
      <c r="B9" s="28" t="s">
        <v>53</v>
      </c>
      <c r="C9" s="25">
        <v>6.3</v>
      </c>
      <c r="D9" s="35">
        <f>$C9*(1+$B$37)^2*$B$3</f>
        <v>4.1996839499999989</v>
      </c>
      <c r="E9" s="35">
        <f>$C9*(1+$B$37)^3*$B$3</f>
        <v>4.2206823697499987</v>
      </c>
      <c r="F9" s="35">
        <f>$C9*(1+$B$37)^4*$B$3</f>
        <v>4.2417857815987476</v>
      </c>
      <c r="G9" s="35">
        <f>$C9*(1+$B$37)^5*$B$3</f>
        <v>4.2629947105067405</v>
      </c>
      <c r="H9" s="35">
        <f>$C9*(1+$B$37)^6*$B$3</f>
        <v>4.2843096840592736</v>
      </c>
      <c r="I9" s="35">
        <f>$C9*(1+$B$37)^7*$B$3</f>
        <v>4.3057312324795687</v>
      </c>
      <c r="J9" s="35">
        <f>$C9*(1+$B$37)^8*$B$3</f>
        <v>4.3272598886419669</v>
      </c>
      <c r="K9" s="35">
        <f>$C9*(1+$B$37)^9*$B$3</f>
        <v>4.3488961880851766</v>
      </c>
      <c r="L9" s="35">
        <f>$C9*(1+$B$37)^10*$B$3</f>
        <v>4.370640669025601</v>
      </c>
      <c r="M9" s="35">
        <f>$C9*(1+$B$37)^11*$B$3</f>
        <v>4.3924938723707294</v>
      </c>
      <c r="N9" s="35">
        <f>$C9*(1+$B$37)^12*$B$3</f>
        <v>4.4144563417325813</v>
      </c>
      <c r="O9" s="35">
        <f>$C9*(1+$B$37)^13*$B$3</f>
        <v>4.4365286234412435</v>
      </c>
      <c r="P9" s="35">
        <f>$C9*(1+$B$37)^14*$B$3</f>
        <v>4.4587112665584492</v>
      </c>
      <c r="Q9" s="35">
        <f>$C9*(1+$B$37)^15*$B$3</f>
        <v>4.4810048228912409</v>
      </c>
      <c r="R9" s="35">
        <f>$C9*(1+$B$37)^16*$B$3</f>
        <v>4.5034098470056962</v>
      </c>
      <c r="S9" s="35">
        <f>$C9*(1+$B$37)^17*$B$3</f>
        <v>4.5259268962407244</v>
      </c>
      <c r="T9" s="35">
        <f>$C9*(1+$B$37)^18*$B$3</f>
        <v>4.5485565307219264</v>
      </c>
      <c r="U9" s="35">
        <f>$C9*(1+$B$37)^19*$B$3</f>
        <v>4.571299313375536</v>
      </c>
      <c r="V9" s="35">
        <f>$C9*(1+$B$37)^20*$B$3</f>
        <v>4.5941558099424125</v>
      </c>
      <c r="W9" s="35">
        <f>$C9*(1+$B$37)^21*$B$3</f>
        <v>4.6171265889921234</v>
      </c>
    </row>
    <row r="10" spans="1:23" x14ac:dyDescent="0.25">
      <c r="A10" s="28">
        <v>4</v>
      </c>
      <c r="B10" s="28" t="s">
        <v>11</v>
      </c>
      <c r="C10" s="25">
        <v>24.5</v>
      </c>
      <c r="D10" s="35">
        <f>$C10*(1+$B$37)^2*$B$3</f>
        <v>16.332104249999997</v>
      </c>
      <c r="E10" s="35">
        <f>$C10*(1+$B$37)^3*$B$3</f>
        <v>16.413764771249994</v>
      </c>
      <c r="F10" s="35">
        <f>$C10*(1+$B$37)^4*$B$3</f>
        <v>16.495833595106241</v>
      </c>
      <c r="G10" s="35">
        <f>$C10*(1+$B$37)^5*$B$3</f>
        <v>16.578312763081769</v>
      </c>
      <c r="H10" s="35">
        <f>$C10*(1+$B$37)^6*$B$3</f>
        <v>16.661204326897174</v>
      </c>
      <c r="I10" s="35">
        <f>$C10*(1+$B$37)^7*$B$3</f>
        <v>16.744510348531659</v>
      </c>
      <c r="J10" s="35">
        <f>$C10*(1+$B$37)^8*$B$3</f>
        <v>16.828232900274315</v>
      </c>
      <c r="K10" s="35">
        <f>$C10*(1+$B$37)^9*$B$3</f>
        <v>16.912374064775687</v>
      </c>
      <c r="L10" s="35">
        <f>$C10*(1+$B$37)^10*$B$3</f>
        <v>16.996935935099561</v>
      </c>
      <c r="M10" s="35">
        <f>$C10*(1+$B$37)^11*$B$3</f>
        <v>17.081920614775058</v>
      </c>
      <c r="N10" s="35">
        <f>$C10*(1+$B$37)^12*$B$3</f>
        <v>17.167330217848928</v>
      </c>
      <c r="O10" s="35">
        <f>$C10*(1+$B$37)^13*$B$3</f>
        <v>17.25316686893817</v>
      </c>
      <c r="P10" s="35">
        <f>$C10*(1+$B$37)^14*$B$3</f>
        <v>17.33943270328286</v>
      </c>
      <c r="Q10" s="35">
        <f>$C10*(1+$B$37)^15*$B$3</f>
        <v>17.426129866799268</v>
      </c>
      <c r="R10" s="35">
        <f>$C10*(1+$B$37)^16*$B$3</f>
        <v>17.513260516133261</v>
      </c>
      <c r="S10" s="35">
        <f>$C10*(1+$B$37)^17*$B$3</f>
        <v>17.60082681871393</v>
      </c>
      <c r="T10" s="35">
        <f>$C10*(1+$B$37)^18*$B$3</f>
        <v>17.688830952807493</v>
      </c>
      <c r="U10" s="35">
        <f>$C10*(1+$B$37)^19*$B$3</f>
        <v>17.777275107571526</v>
      </c>
      <c r="V10" s="35">
        <f>$C10*(1+$B$37)^20*$B$3</f>
        <v>17.866161483109384</v>
      </c>
      <c r="W10" s="35">
        <f>$C10*(1+$B$37)^21*$B$3</f>
        <v>17.955492290524926</v>
      </c>
    </row>
    <row r="11" spans="1:23" ht="45" x14ac:dyDescent="0.25">
      <c r="A11" s="28">
        <v>5</v>
      </c>
      <c r="B11" s="28" t="s">
        <v>55</v>
      </c>
      <c r="C11" s="25">
        <v>36.4</v>
      </c>
      <c r="D11" s="35">
        <f>$C11*(1+$B$37)^2*$B$3</f>
        <v>24.264840599999992</v>
      </c>
      <c r="E11" s="35">
        <f>$C11*(1+$B$37)^3*$B$3</f>
        <v>24.386164802999989</v>
      </c>
      <c r="F11" s="35">
        <f>$C11*(1+$B$37)^4*$B$3</f>
        <v>24.508095627014981</v>
      </c>
      <c r="G11" s="35">
        <f>$C11*(1+$B$37)^5*$B$3</f>
        <v>24.630636105150057</v>
      </c>
      <c r="H11" s="35">
        <f>$C11*(1+$B$37)^6*$B$3</f>
        <v>24.753789285675801</v>
      </c>
      <c r="I11" s="35">
        <f>$C11*(1+$B$37)^7*$B$3</f>
        <v>24.877558232104175</v>
      </c>
      <c r="J11" s="35">
        <f>$C11*(1+$B$37)^8*$B$3</f>
        <v>25.001946023264694</v>
      </c>
      <c r="K11" s="35">
        <f>$C11*(1+$B$37)^9*$B$3</f>
        <v>25.126955753381019</v>
      </c>
      <c r="L11" s="35">
        <f>$C11*(1+$B$37)^10*$B$3</f>
        <v>25.252590532147916</v>
      </c>
      <c r="M11" s="35">
        <f>$C11*(1+$B$37)^11*$B$3</f>
        <v>25.378853484808655</v>
      </c>
      <c r="N11" s="35">
        <f>$C11*(1+$B$37)^12*$B$3</f>
        <v>25.50574775223269</v>
      </c>
      <c r="O11" s="35">
        <f>$C11*(1+$B$37)^13*$B$3</f>
        <v>25.633276490993854</v>
      </c>
      <c r="P11" s="35">
        <f>$C11*(1+$B$37)^14*$B$3</f>
        <v>25.761442873448814</v>
      </c>
      <c r="Q11" s="35">
        <f>$C11*(1+$B$37)^15*$B$3</f>
        <v>25.890250087816053</v>
      </c>
      <c r="R11" s="35">
        <f>$C11*(1+$B$37)^16*$B$3</f>
        <v>26.019701338255132</v>
      </c>
      <c r="S11" s="35">
        <f>$C11*(1+$B$37)^17*$B$3</f>
        <v>26.149799844946408</v>
      </c>
      <c r="T11" s="35">
        <f>$C11*(1+$B$37)^18*$B$3</f>
        <v>26.280548844171129</v>
      </c>
      <c r="U11" s="35">
        <f>$C11*(1+$B$37)^19*$B$3</f>
        <v>26.411951588391986</v>
      </c>
      <c r="V11" s="35">
        <f>$C11*(1+$B$37)^20*$B$3</f>
        <v>26.544011346333942</v>
      </c>
      <c r="W11" s="35">
        <f>$C11*(1+$B$37)^21*$B$3</f>
        <v>26.676731403065602</v>
      </c>
    </row>
    <row r="13" spans="1:23" ht="14.45" customHeight="1" x14ac:dyDescent="0.25">
      <c r="A13" s="66" t="s">
        <v>63</v>
      </c>
      <c r="B13" s="66"/>
      <c r="C13" s="66"/>
      <c r="D13" s="66"/>
      <c r="E13" s="66"/>
      <c r="F13" s="66"/>
      <c r="G13" s="66"/>
      <c r="H13" s="66"/>
      <c r="I13" s="66"/>
      <c r="J13" s="66"/>
      <c r="K13" s="66"/>
      <c r="L13" s="66"/>
      <c r="M13" s="66"/>
      <c r="N13" s="66"/>
      <c r="O13" s="66"/>
      <c r="P13" s="66"/>
      <c r="Q13" s="66"/>
      <c r="R13" s="66"/>
      <c r="S13" s="66"/>
      <c r="T13" s="66"/>
      <c r="U13" s="66"/>
      <c r="V13" s="66"/>
      <c r="W13" s="66"/>
    </row>
    <row r="14" spans="1:23" ht="30" x14ac:dyDescent="0.25">
      <c r="A14" s="26" t="s">
        <v>9</v>
      </c>
      <c r="B14" s="26" t="s">
        <v>1</v>
      </c>
      <c r="C14" s="26" t="s">
        <v>57</v>
      </c>
      <c r="D14" s="26">
        <v>2017</v>
      </c>
      <c r="E14" s="26">
        <v>2018</v>
      </c>
      <c r="F14" s="26">
        <v>2019</v>
      </c>
      <c r="G14" s="26">
        <v>2020</v>
      </c>
      <c r="H14" s="26">
        <v>2021</v>
      </c>
      <c r="I14" s="26">
        <v>2022</v>
      </c>
      <c r="J14" s="26">
        <v>2023</v>
      </c>
      <c r="K14" s="26">
        <v>2024</v>
      </c>
      <c r="L14" s="26">
        <v>2025</v>
      </c>
      <c r="M14" s="26">
        <v>2026</v>
      </c>
      <c r="N14" s="26">
        <v>2027</v>
      </c>
      <c r="O14" s="26">
        <v>2028</v>
      </c>
      <c r="P14" s="26">
        <v>2029</v>
      </c>
      <c r="Q14" s="26">
        <v>2030</v>
      </c>
      <c r="R14" s="26">
        <v>2031</v>
      </c>
      <c r="S14" s="26">
        <v>2032</v>
      </c>
      <c r="T14" s="26">
        <v>2033</v>
      </c>
      <c r="U14" s="26">
        <v>2034</v>
      </c>
      <c r="V14" s="26">
        <v>2035</v>
      </c>
      <c r="W14" s="26">
        <v>2036</v>
      </c>
    </row>
    <row r="15" spans="1:23" x14ac:dyDescent="0.25">
      <c r="A15" s="28">
        <v>1</v>
      </c>
      <c r="B15" s="28" t="s">
        <v>13</v>
      </c>
      <c r="C15" s="31">
        <f>D32+2*D33</f>
        <v>9299932.5399999991</v>
      </c>
      <c r="D15" s="31">
        <f t="shared" ref="D15:W15" si="0">D$7*$C$15</f>
        <v>0</v>
      </c>
      <c r="E15" s="31">
        <f t="shared" si="0"/>
        <v>0</v>
      </c>
      <c r="F15" s="31">
        <f t="shared" si="0"/>
        <v>0</v>
      </c>
      <c r="G15" s="31">
        <f t="shared" si="0"/>
        <v>0</v>
      </c>
      <c r="H15" s="31">
        <f t="shared" si="0"/>
        <v>0</v>
      </c>
      <c r="I15" s="31">
        <f t="shared" si="0"/>
        <v>0</v>
      </c>
      <c r="J15" s="31">
        <f t="shared" si="0"/>
        <v>0</v>
      </c>
      <c r="K15" s="31">
        <f t="shared" si="0"/>
        <v>0</v>
      </c>
      <c r="L15" s="31">
        <f t="shared" si="0"/>
        <v>0</v>
      </c>
      <c r="M15" s="31">
        <f t="shared" si="0"/>
        <v>0</v>
      </c>
      <c r="N15" s="31">
        <f t="shared" si="0"/>
        <v>0</v>
      </c>
      <c r="O15" s="31">
        <f t="shared" si="0"/>
        <v>0</v>
      </c>
      <c r="P15" s="31">
        <f t="shared" si="0"/>
        <v>0</v>
      </c>
      <c r="Q15" s="31">
        <f t="shared" si="0"/>
        <v>0</v>
      </c>
      <c r="R15" s="31">
        <f t="shared" si="0"/>
        <v>0</v>
      </c>
      <c r="S15" s="31">
        <f t="shared" si="0"/>
        <v>0</v>
      </c>
      <c r="T15" s="31">
        <f t="shared" si="0"/>
        <v>0</v>
      </c>
      <c r="U15" s="31">
        <f t="shared" si="0"/>
        <v>0</v>
      </c>
      <c r="V15" s="31">
        <f t="shared" si="0"/>
        <v>0</v>
      </c>
      <c r="W15" s="31">
        <f t="shared" si="0"/>
        <v>0</v>
      </c>
    </row>
    <row r="16" spans="1:23" x14ac:dyDescent="0.25">
      <c r="A16" s="28">
        <v>2</v>
      </c>
      <c r="B16" s="28" t="s">
        <v>12</v>
      </c>
      <c r="C16" s="31">
        <f>0.03437*D26+0.55449*D27+0.20908*D28+0.14437*D29+0.03986*D30+0.01783*D31+0*D32+2*D33</f>
        <v>453530.47675999999</v>
      </c>
      <c r="D16" s="31">
        <f t="shared" ref="D16:W16" si="1">D$8*$C$16</f>
        <v>634894.88802827313</v>
      </c>
      <c r="E16" s="31">
        <f t="shared" si="1"/>
        <v>638069.36246841447</v>
      </c>
      <c r="F16" s="31">
        <f t="shared" si="1"/>
        <v>641259.70928075642</v>
      </c>
      <c r="G16" s="31">
        <f t="shared" si="1"/>
        <v>644466.00782716007</v>
      </c>
      <c r="H16" s="31">
        <f t="shared" si="1"/>
        <v>647688.33786629571</v>
      </c>
      <c r="I16" s="31">
        <f t="shared" si="1"/>
        <v>650926.77955562714</v>
      </c>
      <c r="J16" s="31">
        <f t="shared" si="1"/>
        <v>654181.41345340526</v>
      </c>
      <c r="K16" s="31">
        <f t="shared" si="1"/>
        <v>657452.32052067225</v>
      </c>
      <c r="L16" s="31">
        <f t="shared" si="1"/>
        <v>660739.5821232755</v>
      </c>
      <c r="M16" s="31">
        <f t="shared" si="1"/>
        <v>664043.28003389179</v>
      </c>
      <c r="N16" s="31">
        <f t="shared" si="1"/>
        <v>667363.49643406109</v>
      </c>
      <c r="O16" s="31">
        <f t="shared" si="1"/>
        <v>670700.31391623127</v>
      </c>
      <c r="P16" s="31">
        <f t="shared" si="1"/>
        <v>674053.81548581237</v>
      </c>
      <c r="Q16" s="31">
        <f t="shared" si="1"/>
        <v>677424.08456324122</v>
      </c>
      <c r="R16" s="31">
        <f t="shared" si="1"/>
        <v>680811.20498605724</v>
      </c>
      <c r="S16" s="31">
        <f t="shared" si="1"/>
        <v>684215.26101098768</v>
      </c>
      <c r="T16" s="31">
        <f t="shared" si="1"/>
        <v>687636.33731604239</v>
      </c>
      <c r="U16" s="31">
        <f t="shared" si="1"/>
        <v>691074.51900262246</v>
      </c>
      <c r="V16" s="31">
        <f t="shared" si="1"/>
        <v>694529.89159763546</v>
      </c>
      <c r="W16" s="31">
        <f t="shared" si="1"/>
        <v>698002.54105562344</v>
      </c>
    </row>
    <row r="17" spans="1:25" ht="30" x14ac:dyDescent="0.25">
      <c r="A17" s="28">
        <v>3</v>
      </c>
      <c r="B17" s="28" t="s">
        <v>53</v>
      </c>
      <c r="C17" s="31">
        <f>0.08347*D26+0.76843*D27+0.10898*D28+0.03191*D29+0.0062*D30+0.00101*D31+0*D32+2*D33</f>
        <v>129158.27075999998</v>
      </c>
      <c r="D17" s="31">
        <f t="shared" ref="D17:W17" si="2">D$9*$C$17</f>
        <v>542423.91672052606</v>
      </c>
      <c r="E17" s="31">
        <f t="shared" si="2"/>
        <v>545136.03630412871</v>
      </c>
      <c r="F17" s="31">
        <f t="shared" si="2"/>
        <v>547861.71648564923</v>
      </c>
      <c r="G17" s="31">
        <f t="shared" si="2"/>
        <v>550601.02506807738</v>
      </c>
      <c r="H17" s="31">
        <f t="shared" si="2"/>
        <v>553354.03019341768</v>
      </c>
      <c r="I17" s="31">
        <f t="shared" si="2"/>
        <v>556120.80034438462</v>
      </c>
      <c r="J17" s="31">
        <f t="shared" si="2"/>
        <v>558901.40434610657</v>
      </c>
      <c r="K17" s="31">
        <f t="shared" si="2"/>
        <v>561695.91136783711</v>
      </c>
      <c r="L17" s="31">
        <f t="shared" si="2"/>
        <v>564504.39092467609</v>
      </c>
      <c r="M17" s="31">
        <f t="shared" si="2"/>
        <v>567326.91287929949</v>
      </c>
      <c r="N17" s="31">
        <f t="shared" si="2"/>
        <v>570163.54744369572</v>
      </c>
      <c r="O17" s="31">
        <f t="shared" si="2"/>
        <v>573014.36518091417</v>
      </c>
      <c r="P17" s="31">
        <f t="shared" si="2"/>
        <v>575879.4370068186</v>
      </c>
      <c r="Q17" s="31">
        <f t="shared" si="2"/>
        <v>578758.83419185271</v>
      </c>
      <c r="R17" s="31">
        <f t="shared" si="2"/>
        <v>581652.62836281187</v>
      </c>
      <c r="S17" s="31">
        <f t="shared" si="2"/>
        <v>584560.89150462579</v>
      </c>
      <c r="T17" s="31">
        <f t="shared" si="2"/>
        <v>587483.69596214872</v>
      </c>
      <c r="U17" s="31">
        <f t="shared" si="2"/>
        <v>590421.11444195954</v>
      </c>
      <c r="V17" s="31">
        <f t="shared" si="2"/>
        <v>593373.22001416911</v>
      </c>
      <c r="W17" s="31">
        <f t="shared" si="2"/>
        <v>596340.08611423988</v>
      </c>
    </row>
    <row r="18" spans="1:25" x14ac:dyDescent="0.25">
      <c r="A18" s="28">
        <v>4</v>
      </c>
      <c r="B18" s="28" t="s">
        <v>11</v>
      </c>
      <c r="C18" s="31">
        <f>0.23437*D26+0.68946*D27+0.06391*D28+0.01071*D29+0.00142*D30+0.00013*D31+0*D32+2*D33</f>
        <v>69781.396919999985</v>
      </c>
      <c r="D18" s="31">
        <f t="shared" ref="D18:W18" si="3">D$10*$C$18</f>
        <v>1139677.0492080685</v>
      </c>
      <c r="E18" s="31">
        <f t="shared" si="3"/>
        <v>1145375.4344541086</v>
      </c>
      <c r="F18" s="31">
        <f t="shared" si="3"/>
        <v>1151102.3116263789</v>
      </c>
      <c r="G18" s="31">
        <f t="shared" si="3"/>
        <v>1156857.8231845107</v>
      </c>
      <c r="H18" s="31">
        <f t="shared" si="3"/>
        <v>1162642.1123004328</v>
      </c>
      <c r="I18" s="31">
        <f t="shared" si="3"/>
        <v>1168455.322861935</v>
      </c>
      <c r="J18" s="31">
        <f t="shared" si="3"/>
        <v>1174297.5994762445</v>
      </c>
      <c r="K18" s="31">
        <f t="shared" si="3"/>
        <v>1180169.0874736258</v>
      </c>
      <c r="L18" s="31">
        <f t="shared" si="3"/>
        <v>1186069.9329109935</v>
      </c>
      <c r="M18" s="31">
        <f t="shared" si="3"/>
        <v>1192000.2825755484</v>
      </c>
      <c r="N18" s="31">
        <f t="shared" si="3"/>
        <v>1197960.2839884257</v>
      </c>
      <c r="O18" s="31">
        <f t="shared" si="3"/>
        <v>1203950.0854083677</v>
      </c>
      <c r="P18" s="31">
        <f t="shared" si="3"/>
        <v>1209969.8358354096</v>
      </c>
      <c r="Q18" s="31">
        <f t="shared" si="3"/>
        <v>1216019.6850145862</v>
      </c>
      <c r="R18" s="31">
        <f t="shared" si="3"/>
        <v>1222099.7834396588</v>
      </c>
      <c r="S18" s="31">
        <f t="shared" si="3"/>
        <v>1228210.2823568573</v>
      </c>
      <c r="T18" s="31">
        <f t="shared" si="3"/>
        <v>1234351.3337686411</v>
      </c>
      <c r="U18" s="31">
        <f t="shared" si="3"/>
        <v>1240523.0904374842</v>
      </c>
      <c r="V18" s="31">
        <f t="shared" si="3"/>
        <v>1246725.7058896716</v>
      </c>
      <c r="W18" s="31">
        <f t="shared" si="3"/>
        <v>1252959.3344191196</v>
      </c>
    </row>
    <row r="19" spans="1:25" ht="45" x14ac:dyDescent="0.25">
      <c r="A19" s="28">
        <v>5</v>
      </c>
      <c r="B19" s="28" t="s">
        <v>55</v>
      </c>
      <c r="C19" s="31">
        <f>0.92534*D26+0.07257*D27+0.00198*D28+0.00008*D29+0*D30+0.00003*D31+0*D32+2*D33</f>
        <v>11063.572319999999</v>
      </c>
      <c r="D19" s="31">
        <f t="shared" ref="D19:W19" si="4">D$11*$C$19</f>
        <v>268455.8188113721</v>
      </c>
      <c r="E19" s="31">
        <f t="shared" si="4"/>
        <v>269798.09790542891</v>
      </c>
      <c r="F19" s="31">
        <f t="shared" si="4"/>
        <v>271147.08839495596</v>
      </c>
      <c r="G19" s="31">
        <f t="shared" si="4"/>
        <v>272502.82383693074</v>
      </c>
      <c r="H19" s="31">
        <f t="shared" si="4"/>
        <v>273865.33795611537</v>
      </c>
      <c r="I19" s="31">
        <f t="shared" si="4"/>
        <v>275234.66464589589</v>
      </c>
      <c r="J19" s="31">
        <f t="shared" si="4"/>
        <v>276610.83796912531</v>
      </c>
      <c r="K19" s="31">
        <f t="shared" si="4"/>
        <v>277993.89215897099</v>
      </c>
      <c r="L19" s="31">
        <f t="shared" si="4"/>
        <v>279383.86161976575</v>
      </c>
      <c r="M19" s="31">
        <f t="shared" si="4"/>
        <v>280780.78092786454</v>
      </c>
      <c r="N19" s="31">
        <f t="shared" si="4"/>
        <v>282184.68483250379</v>
      </c>
      <c r="O19" s="31">
        <f t="shared" si="4"/>
        <v>283595.60825666634</v>
      </c>
      <c r="P19" s="31">
        <f t="shared" si="4"/>
        <v>285013.58629794954</v>
      </c>
      <c r="Q19" s="31">
        <f t="shared" si="4"/>
        <v>286438.65422943921</v>
      </c>
      <c r="R19" s="31">
        <f t="shared" si="4"/>
        <v>287870.84750058642</v>
      </c>
      <c r="S19" s="31">
        <f t="shared" si="4"/>
        <v>289310.20173808932</v>
      </c>
      <c r="T19" s="31">
        <f t="shared" si="4"/>
        <v>290756.7527467797</v>
      </c>
      <c r="U19" s="31">
        <f t="shared" si="4"/>
        <v>292210.53651051357</v>
      </c>
      <c r="V19" s="31">
        <f t="shared" si="4"/>
        <v>293671.58919306612</v>
      </c>
      <c r="W19" s="31">
        <f t="shared" si="4"/>
        <v>295139.94713903137</v>
      </c>
      <c r="X19" s="26" t="s">
        <v>61</v>
      </c>
    </row>
    <row r="20" spans="1:25" ht="30" x14ac:dyDescent="0.25">
      <c r="C20" s="27" t="s">
        <v>60</v>
      </c>
      <c r="D20" s="31">
        <f>SUM(D15:D19)</f>
        <v>2585451.6727682399</v>
      </c>
      <c r="E20" s="31">
        <f t="shared" ref="E20:W20" si="5">SUM(E15:E19)</f>
        <v>2598378.931132081</v>
      </c>
      <c r="F20" s="31">
        <f t="shared" si="5"/>
        <v>2611370.8257877408</v>
      </c>
      <c r="G20" s="31">
        <f t="shared" si="5"/>
        <v>2624427.6799166785</v>
      </c>
      <c r="H20" s="31">
        <f t="shared" si="5"/>
        <v>2637549.8183162613</v>
      </c>
      <c r="I20" s="31">
        <f t="shared" si="5"/>
        <v>2650737.5674078427</v>
      </c>
      <c r="J20" s="31">
        <f t="shared" si="5"/>
        <v>2663991.2552448818</v>
      </c>
      <c r="K20" s="31">
        <f t="shared" si="5"/>
        <v>2677311.2115211063</v>
      </c>
      <c r="L20" s="31">
        <f t="shared" si="5"/>
        <v>2690697.7675787108</v>
      </c>
      <c r="M20" s="31">
        <f t="shared" si="5"/>
        <v>2704151.2564166044</v>
      </c>
      <c r="N20" s="31">
        <f t="shared" si="5"/>
        <v>2717672.0126986867</v>
      </c>
      <c r="O20" s="31">
        <f t="shared" si="5"/>
        <v>2731260.3727621795</v>
      </c>
      <c r="P20" s="31">
        <f t="shared" si="5"/>
        <v>2744916.67462599</v>
      </c>
      <c r="Q20" s="31">
        <f t="shared" si="5"/>
        <v>2758641.2579991198</v>
      </c>
      <c r="R20" s="31">
        <f t="shared" si="5"/>
        <v>2772434.4642891143</v>
      </c>
      <c r="S20" s="31">
        <f t="shared" si="5"/>
        <v>2786296.6366105601</v>
      </c>
      <c r="T20" s="31">
        <f t="shared" si="5"/>
        <v>2800228.1197936116</v>
      </c>
      <c r="U20" s="31">
        <f t="shared" si="5"/>
        <v>2814229.2603925797</v>
      </c>
      <c r="V20" s="31">
        <f t="shared" si="5"/>
        <v>2828300.4066945422</v>
      </c>
      <c r="W20" s="31">
        <f t="shared" si="5"/>
        <v>2842441.9087280142</v>
      </c>
      <c r="X20" s="31">
        <f>SUM(D20:W20)</f>
        <v>54240489.100684538</v>
      </c>
      <c r="Y20" s="26" t="s">
        <v>60</v>
      </c>
    </row>
    <row r="21" spans="1:25" ht="30" x14ac:dyDescent="0.25">
      <c r="C21" s="27" t="s">
        <v>77</v>
      </c>
      <c r="D21" s="31">
        <f>D20/(1.07)^2</f>
        <v>2258233.6210745391</v>
      </c>
      <c r="E21" s="31">
        <f>E20/(1.07)^3</f>
        <v>2121051.2048410387</v>
      </c>
      <c r="F21" s="31">
        <f>F20/(1.07)^4</f>
        <v>1992202.2998740596</v>
      </c>
      <c r="G21" s="31">
        <f>G20/(1.07)^5</f>
        <v>1871180.6648349802</v>
      </c>
      <c r="H21" s="31">
        <f>H20/(1.07)^6</f>
        <v>1757510.8113636961</v>
      </c>
      <c r="I21" s="31">
        <f>I20/(1.07)^7</f>
        <v>1650746.135907023</v>
      </c>
      <c r="J21" s="31">
        <f>J20/(1.07)^8</f>
        <v>1550467.1650341665</v>
      </c>
      <c r="K21" s="31">
        <f>K20/(1.07)^9</f>
        <v>1456279.9073451748</v>
      </c>
      <c r="L21" s="31">
        <f>L20/(1.07)^10</f>
        <v>1367814.3054971031</v>
      </c>
      <c r="M21" s="31">
        <f>M20/(1.07)^11</f>
        <v>1284722.7822659705</v>
      </c>
      <c r="N21" s="31">
        <f>N20/(1.07)^12</f>
        <v>1206678.8749320563</v>
      </c>
      <c r="O21" s="31">
        <f>O20/(1.07)^13</f>
        <v>1133375.9526230993</v>
      </c>
      <c r="P21" s="31">
        <f>P20/(1.07)^14</f>
        <v>1064526.0115759016</v>
      </c>
      <c r="Q21" s="31">
        <f>Q20/(1.07)^15</f>
        <v>999858.54358297272</v>
      </c>
      <c r="R21" s="31">
        <f>R20/(1.07)^16</f>
        <v>939119.47317839938</v>
      </c>
      <c r="S21" s="31">
        <f>S20/(1.07)^17</f>
        <v>882070.15938718827</v>
      </c>
      <c r="T21" s="31">
        <f>T20/(1.07)^18</f>
        <v>828486.45811600355</v>
      </c>
      <c r="U21" s="31">
        <f>U20/(1.07)^19</f>
        <v>778157.84150147997</v>
      </c>
      <c r="V21" s="31">
        <f>V20/(1.07)^20</f>
        <v>730886.57075606287</v>
      </c>
      <c r="W21" s="31">
        <f>W20/(1.07)^21</f>
        <v>686486.91926153551</v>
      </c>
      <c r="X21" s="31">
        <f>SUM(D21:W21)</f>
        <v>26559855.702952448</v>
      </c>
      <c r="Y21" s="26" t="s">
        <v>77</v>
      </c>
    </row>
    <row r="22" spans="1:25" ht="30" x14ac:dyDescent="0.25">
      <c r="C22" s="27" t="s">
        <v>78</v>
      </c>
      <c r="D22" s="31">
        <f>D20/(1.03)^2</f>
        <v>2437036.1700143651</v>
      </c>
      <c r="E22" s="31">
        <f>E20/(1.03)^3</f>
        <v>2377884.8066645018</v>
      </c>
      <c r="F22" s="31">
        <f>F20/(1.03)^4</f>
        <v>2320169.1560173049</v>
      </c>
      <c r="G22" s="31">
        <f>G20/(1.03)^5</f>
        <v>2263854.3706770781</v>
      </c>
      <c r="H22" s="31">
        <f>H20/(1.03)^6</f>
        <v>2208906.4490587017</v>
      </c>
      <c r="I22" s="31">
        <f>I20/(1.03)^7</f>
        <v>2155292.2148582479</v>
      </c>
      <c r="J22" s="31">
        <f>J20/(1.03)^8</f>
        <v>2102979.2970218826</v>
      </c>
      <c r="K22" s="31">
        <f>K20/(1.03)^9</f>
        <v>2051936.1102009632</v>
      </c>
      <c r="L22" s="31">
        <f>L20/(1.03)^10</f>
        <v>2002131.8356815218</v>
      </c>
      <c r="M22" s="31">
        <f>M20/(1.03)^11</f>
        <v>1953536.4027766304</v>
      </c>
      <c r="N22" s="31">
        <f>N20/(1.03)^12</f>
        <v>1906120.4706704011</v>
      </c>
      <c r="O22" s="31">
        <f>O20/(1.03)^13</f>
        <v>1859855.4107026728</v>
      </c>
      <c r="P22" s="31">
        <f>P20/(1.03)^14</f>
        <v>1814713.2890836752</v>
      </c>
      <c r="Q22" s="31">
        <f>Q20/(1.03)^15</f>
        <v>1770666.8500282462</v>
      </c>
      <c r="R22" s="31">
        <f>R20/(1.03)^16</f>
        <v>1727689.4992994049</v>
      </c>
      <c r="S22" s="31">
        <f>S20/(1.03)^17</f>
        <v>1685755.2881513613</v>
      </c>
      <c r="T22" s="31">
        <f>T20/(1.03)^18</f>
        <v>1644838.8976622496</v>
      </c>
      <c r="U22" s="31">
        <f>U20/(1.03)^19</f>
        <v>1604915.6234471465</v>
      </c>
      <c r="V22" s="31">
        <f>V20/(1.03)^20</f>
        <v>1565961.3607421184</v>
      </c>
      <c r="W22" s="31">
        <f>W20/(1.03)^21</f>
        <v>1527952.5898503193</v>
      </c>
      <c r="X22" s="31">
        <f>SUM(D22:W22)</f>
        <v>38982196.092608795</v>
      </c>
      <c r="Y22" s="26" t="s">
        <v>78</v>
      </c>
    </row>
    <row r="23" spans="1:25" x14ac:dyDescent="0.25">
      <c r="C23" s="34"/>
      <c r="D23" s="34"/>
      <c r="E23" s="34"/>
      <c r="F23" s="34"/>
      <c r="G23" s="34"/>
      <c r="H23" s="34"/>
      <c r="I23" s="34"/>
      <c r="J23" s="34"/>
      <c r="K23" s="34"/>
      <c r="L23" s="34"/>
      <c r="M23" s="34"/>
      <c r="N23" s="34"/>
      <c r="O23" s="34"/>
      <c r="P23" s="34"/>
      <c r="Q23" s="34"/>
      <c r="R23" s="34"/>
      <c r="S23" s="34"/>
      <c r="T23" s="34"/>
      <c r="U23" s="34"/>
      <c r="V23" s="34"/>
      <c r="W23" s="34"/>
      <c r="X23" s="22"/>
      <c r="Y23" s="21"/>
    </row>
    <row r="24" spans="1:25" x14ac:dyDescent="0.25">
      <c r="A24" s="66" t="s">
        <v>65</v>
      </c>
      <c r="B24" s="66"/>
      <c r="C24" s="66"/>
      <c r="D24" s="66"/>
      <c r="E24" s="22"/>
      <c r="F24" s="22"/>
      <c r="G24" s="22"/>
      <c r="H24" s="22"/>
      <c r="I24" s="22"/>
      <c r="J24" s="22"/>
      <c r="K24" s="22"/>
      <c r="L24" s="22"/>
      <c r="M24" s="22"/>
      <c r="N24" s="22"/>
      <c r="O24" s="22"/>
      <c r="P24" s="22"/>
      <c r="Q24" s="22"/>
      <c r="R24" s="22"/>
      <c r="S24" s="22"/>
      <c r="T24" s="22"/>
      <c r="U24" s="22"/>
      <c r="V24" s="22"/>
      <c r="W24" s="22"/>
    </row>
    <row r="25" spans="1:25" ht="30" x14ac:dyDescent="0.25">
      <c r="A25" s="26" t="s">
        <v>0</v>
      </c>
      <c r="B25" s="26" t="s">
        <v>1</v>
      </c>
      <c r="C25" s="26" t="s">
        <v>8</v>
      </c>
      <c r="D25" s="26" t="s">
        <v>52</v>
      </c>
    </row>
    <row r="26" spans="1:25" x14ac:dyDescent="0.25">
      <c r="A26" s="29">
        <v>0</v>
      </c>
      <c r="B26" s="29" t="s">
        <v>10</v>
      </c>
      <c r="C26" s="30">
        <v>0</v>
      </c>
      <c r="D26" s="31">
        <f>C26*1.01</f>
        <v>0</v>
      </c>
    </row>
    <row r="27" spans="1:25" x14ac:dyDescent="0.25">
      <c r="A27" s="28">
        <v>1</v>
      </c>
      <c r="B27" s="28" t="s">
        <v>2</v>
      </c>
      <c r="C27" s="31">
        <v>27600</v>
      </c>
      <c r="D27" s="31">
        <f t="shared" ref="D27:D33" si="6">C27*1.01</f>
        <v>27876</v>
      </c>
    </row>
    <row r="28" spans="1:25" x14ac:dyDescent="0.25">
      <c r="A28" s="28">
        <v>2</v>
      </c>
      <c r="B28" s="28" t="s">
        <v>3</v>
      </c>
      <c r="C28" s="31">
        <v>432400</v>
      </c>
      <c r="D28" s="31">
        <f t="shared" si="6"/>
        <v>436724</v>
      </c>
    </row>
    <row r="29" spans="1:25" x14ac:dyDescent="0.25">
      <c r="A29" s="28">
        <v>3</v>
      </c>
      <c r="B29" s="28" t="s">
        <v>4</v>
      </c>
      <c r="C29" s="31">
        <v>966000</v>
      </c>
      <c r="D29" s="31">
        <f t="shared" si="6"/>
        <v>975660</v>
      </c>
    </row>
    <row r="30" spans="1:25" x14ac:dyDescent="0.25">
      <c r="A30" s="28">
        <v>4</v>
      </c>
      <c r="B30" s="28" t="s">
        <v>5</v>
      </c>
      <c r="C30" s="31">
        <v>2477200</v>
      </c>
      <c r="D30" s="31">
        <f t="shared" si="6"/>
        <v>2501972</v>
      </c>
    </row>
    <row r="31" spans="1:25" x14ac:dyDescent="0.25">
      <c r="A31" s="28">
        <v>5</v>
      </c>
      <c r="B31" s="28" t="s">
        <v>6</v>
      </c>
      <c r="C31" s="31">
        <v>5455600</v>
      </c>
      <c r="D31" s="31">
        <f t="shared" si="6"/>
        <v>5510156</v>
      </c>
    </row>
    <row r="32" spans="1:25" x14ac:dyDescent="0.25">
      <c r="A32" s="28">
        <v>6</v>
      </c>
      <c r="B32" s="28" t="s">
        <v>7</v>
      </c>
      <c r="C32" s="31">
        <v>9200000</v>
      </c>
      <c r="D32" s="31">
        <f t="shared" si="6"/>
        <v>9292000</v>
      </c>
    </row>
    <row r="33" spans="1:4" ht="30" x14ac:dyDescent="0.25">
      <c r="A33" s="28" t="s">
        <v>56</v>
      </c>
      <c r="B33" s="28" t="s">
        <v>54</v>
      </c>
      <c r="C33" s="31">
        <v>3927</v>
      </c>
      <c r="D33" s="31">
        <f t="shared" si="6"/>
        <v>3966.27</v>
      </c>
    </row>
    <row r="34" spans="1:4" x14ac:dyDescent="0.25">
      <c r="A34" s="23"/>
      <c r="B34" s="23"/>
      <c r="C34" s="34"/>
      <c r="D34" s="34"/>
    </row>
    <row r="35" spans="1:4" x14ac:dyDescent="0.25">
      <c r="A35" s="23"/>
      <c r="B35" s="23"/>
      <c r="C35" s="34"/>
      <c r="D35" s="34"/>
    </row>
    <row r="36" spans="1:4" x14ac:dyDescent="0.25">
      <c r="A36" s="66" t="s">
        <v>64</v>
      </c>
      <c r="B36" s="66"/>
      <c r="C36" s="24"/>
    </row>
    <row r="37" spans="1:4" x14ac:dyDescent="0.25">
      <c r="A37" s="67" t="s">
        <v>14</v>
      </c>
      <c r="B37" s="68">
        <v>5.0000000000000001E-3</v>
      </c>
      <c r="C37" s="24"/>
    </row>
    <row r="38" spans="1:4" x14ac:dyDescent="0.25">
      <c r="A38" s="67"/>
      <c r="B38" s="68"/>
      <c r="C38" s="24"/>
    </row>
    <row r="39" spans="1:4" x14ac:dyDescent="0.25">
      <c r="A39" s="33" t="s">
        <v>16</v>
      </c>
    </row>
    <row r="40" spans="1:4" x14ac:dyDescent="0.25">
      <c r="A40" s="33" t="s">
        <v>76</v>
      </c>
    </row>
    <row r="41" spans="1:4" x14ac:dyDescent="0.25">
      <c r="A41" s="33" t="s">
        <v>75</v>
      </c>
    </row>
  </sheetData>
  <mergeCells count="7">
    <mergeCell ref="A37:A38"/>
    <mergeCell ref="B37:B38"/>
    <mergeCell ref="A1:B1"/>
    <mergeCell ref="A5:W5"/>
    <mergeCell ref="A13:W13"/>
    <mergeCell ref="A24:D24"/>
    <mergeCell ref="A36: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Build - Scenario 2 Safety</vt:lpstr>
      <vt:lpstr>Summary Spreadsheet</vt:lpstr>
      <vt:lpstr>Travel Time Savings</vt:lpstr>
      <vt:lpstr>CPI_Deflator_Series</vt:lpstr>
      <vt:lpstr>Corridor Base - Safety - Veh</vt:lpstr>
      <vt:lpstr>19% Overall Reduction</vt:lpstr>
      <vt:lpstr>Comparison All Crash Reduction</vt:lpstr>
      <vt:lpstr>No-Build</vt:lpstr>
      <vt:lpstr>Corridor 5mph - Safety - Veh</vt:lpstr>
      <vt:lpstr>28th Base - Safety - Veh </vt:lpstr>
      <vt:lpstr>28th Round - Injury - Veh</vt:lpstr>
      <vt:lpstr>28th Round - Non-Injury - Veh</vt:lpstr>
      <vt:lpstr>Corr Base - Safety - Ped</vt:lpstr>
      <vt:lpstr>Sheet1</vt:lpstr>
      <vt:lpstr>Corr Imp - Safety - Ped</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Brooks</dc:creator>
  <cp:lastModifiedBy>Marsha</cp:lastModifiedBy>
  <cp:lastPrinted>2015-06-04T01:48:08Z</cp:lastPrinted>
  <dcterms:created xsi:type="dcterms:W3CDTF">2015-05-31T01:05:48Z</dcterms:created>
  <dcterms:modified xsi:type="dcterms:W3CDTF">2016-04-27T17:32:32Z</dcterms:modified>
</cp:coreProperties>
</file>